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6608" windowHeight="9276"/>
  </bookViews>
  <sheets>
    <sheet name="Ennen 1.1.2016" sheetId="1" r:id="rId1"/>
  </sheets>
  <definedNames>
    <definedName name="_xlnm.Print_Titles" localSheetId="0">'Ennen 1.1.2016'!$1:$1</definedName>
  </definedNames>
  <calcPr calcId="145621"/>
</workbook>
</file>

<file path=xl/calcChain.xml><?xml version="1.0" encoding="utf-8"?>
<calcChain xmlns="http://schemas.openxmlformats.org/spreadsheetml/2006/main">
  <c r="B1802" i="1" l="1"/>
  <c r="A1802" i="1"/>
  <c r="B1801" i="1"/>
  <c r="A1801" i="1"/>
  <c r="B1800" i="1"/>
  <c r="A1800" i="1"/>
  <c r="B1797" i="1"/>
  <c r="A1797" i="1"/>
  <c r="B1796" i="1"/>
  <c r="A1796" i="1"/>
  <c r="B1793" i="1"/>
  <c r="A1793" i="1"/>
  <c r="B1792" i="1"/>
  <c r="A1792" i="1"/>
  <c r="B1791" i="1"/>
  <c r="A1791" i="1"/>
  <c r="B1788" i="1"/>
  <c r="A1788" i="1"/>
  <c r="B1787" i="1"/>
  <c r="A1787" i="1"/>
  <c r="B1784" i="1"/>
  <c r="A1784" i="1"/>
  <c r="B1783" i="1"/>
  <c r="A1783" i="1"/>
  <c r="B1782" i="1"/>
  <c r="A1782" i="1"/>
  <c r="B1781" i="1"/>
  <c r="A1781" i="1"/>
  <c r="B1780" i="1"/>
  <c r="A1780" i="1"/>
  <c r="B1777" i="1"/>
  <c r="A1777" i="1"/>
  <c r="B1776" i="1"/>
  <c r="A1776" i="1"/>
  <c r="B1775" i="1"/>
  <c r="A1775" i="1"/>
  <c r="B1774" i="1"/>
  <c r="A1774" i="1"/>
  <c r="B1771" i="1"/>
  <c r="A1771" i="1"/>
  <c r="B1770" i="1"/>
  <c r="A1770" i="1"/>
  <c r="B1769" i="1"/>
  <c r="A1769" i="1"/>
  <c r="B1768" i="1"/>
  <c r="A1768" i="1"/>
  <c r="B1765" i="1"/>
  <c r="A1765" i="1"/>
  <c r="B1764" i="1"/>
  <c r="A1764" i="1"/>
  <c r="B1763" i="1"/>
  <c r="A1763" i="1"/>
  <c r="B1760" i="1"/>
  <c r="A1760" i="1"/>
  <c r="B1759" i="1"/>
  <c r="A1759" i="1"/>
  <c r="B1758" i="1"/>
  <c r="A1758" i="1"/>
  <c r="B1757" i="1"/>
  <c r="A1757" i="1"/>
  <c r="B1756" i="1"/>
  <c r="A1756" i="1"/>
  <c r="B1753" i="1"/>
  <c r="A1753" i="1"/>
  <c r="B1752" i="1"/>
  <c r="A1752" i="1"/>
  <c r="B1751" i="1"/>
  <c r="A1751" i="1"/>
  <c r="B1748" i="1"/>
  <c r="A1748" i="1"/>
  <c r="B1747" i="1"/>
  <c r="A1747" i="1"/>
  <c r="B1746" i="1"/>
  <c r="A1746" i="1"/>
  <c r="B1745" i="1"/>
  <c r="A1745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4" i="1"/>
  <c r="A1734" i="1"/>
  <c r="B1733" i="1"/>
  <c r="A1733" i="1"/>
  <c r="B1732" i="1"/>
  <c r="A1732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69" i="1"/>
  <c r="A1669" i="1"/>
  <c r="B1668" i="1"/>
  <c r="A1668" i="1"/>
  <c r="B1665" i="1"/>
  <c r="A1665" i="1"/>
  <c r="B1664" i="1"/>
  <c r="A1664" i="1"/>
  <c r="B1661" i="1"/>
  <c r="A1661" i="1"/>
  <c r="B1660" i="1"/>
  <c r="A1660" i="1"/>
  <c r="B1657" i="1"/>
  <c r="A1657" i="1"/>
  <c r="B1656" i="1"/>
  <c r="A1656" i="1"/>
  <c r="B1655" i="1"/>
  <c r="A1655" i="1"/>
  <c r="B1652" i="1"/>
  <c r="A1652" i="1"/>
  <c r="B1651" i="1"/>
  <c r="A1651" i="1"/>
  <c r="B1650" i="1"/>
  <c r="A1650" i="1"/>
  <c r="B1649" i="1"/>
  <c r="A1649" i="1"/>
  <c r="B1648" i="1"/>
  <c r="A1648" i="1"/>
  <c r="B1645" i="1"/>
  <c r="A1645" i="1"/>
  <c r="B1644" i="1"/>
  <c r="A1644" i="1"/>
  <c r="B1643" i="1"/>
  <c r="A1643" i="1"/>
  <c r="B1642" i="1"/>
  <c r="A1642" i="1"/>
  <c r="B1639" i="1"/>
  <c r="A1639" i="1"/>
  <c r="B1638" i="1"/>
  <c r="A1638" i="1"/>
  <c r="B1635" i="1"/>
  <c r="A1635" i="1"/>
  <c r="B1634" i="1"/>
  <c r="A1634" i="1"/>
  <c r="B1633" i="1"/>
  <c r="A1633" i="1"/>
  <c r="B1632" i="1"/>
  <c r="A1632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4" i="1"/>
  <c r="A1604" i="1"/>
  <c r="B1603" i="1"/>
  <c r="A1603" i="1"/>
  <c r="B1602" i="1"/>
  <c r="A1602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5" i="1"/>
  <c r="A1585" i="1"/>
  <c r="B1584" i="1"/>
  <c r="A1584" i="1"/>
  <c r="B1583" i="1"/>
  <c r="A1583" i="1"/>
  <c r="B1582" i="1"/>
  <c r="A1582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0" i="1"/>
  <c r="A1560" i="1"/>
  <c r="B1559" i="1"/>
  <c r="A1559" i="1"/>
  <c r="B1558" i="1"/>
  <c r="A1558" i="1"/>
  <c r="B1557" i="1"/>
  <c r="A1557" i="1"/>
  <c r="B1556" i="1"/>
  <c r="A1556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1" i="1"/>
  <c r="A1521" i="1"/>
  <c r="B1520" i="1"/>
  <c r="A1520" i="1"/>
  <c r="B1519" i="1"/>
  <c r="A1519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7" i="1"/>
  <c r="A1507" i="1"/>
  <c r="B1506" i="1"/>
  <c r="A1506" i="1"/>
  <c r="B1505" i="1"/>
  <c r="A1505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3" i="1"/>
  <c r="A1493" i="1"/>
  <c r="B1492" i="1"/>
  <c r="A1492" i="1"/>
  <c r="B1491" i="1"/>
  <c r="A1491" i="1"/>
  <c r="B1490" i="1"/>
  <c r="A1490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69" i="1"/>
  <c r="A1469" i="1"/>
  <c r="B1468" i="1"/>
  <c r="A1468" i="1"/>
  <c r="B1467" i="1"/>
  <c r="A1467" i="1"/>
  <c r="B1466" i="1"/>
  <c r="A1466" i="1"/>
  <c r="B1465" i="1"/>
  <c r="A1465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5" i="1"/>
  <c r="A1445" i="1"/>
  <c r="B1444" i="1"/>
  <c r="A1444" i="1"/>
  <c r="B1443" i="1"/>
  <c r="A1443" i="1"/>
  <c r="B1440" i="1"/>
  <c r="A1440" i="1"/>
  <c r="B1439" i="1"/>
  <c r="A1439" i="1"/>
  <c r="B1438" i="1"/>
  <c r="A1438" i="1"/>
  <c r="B1435" i="1"/>
  <c r="A1435" i="1"/>
  <c r="B1434" i="1"/>
  <c r="A1434" i="1"/>
  <c r="B1431" i="1"/>
  <c r="A1431" i="1"/>
  <c r="B1430" i="1"/>
  <c r="A1430" i="1"/>
  <c r="B1429" i="1"/>
  <c r="A1429" i="1"/>
  <c r="B1426" i="1"/>
  <c r="A1426" i="1"/>
  <c r="B1425" i="1"/>
  <c r="A1425" i="1"/>
  <c r="B1422" i="1"/>
  <c r="A1422" i="1"/>
  <c r="B1421" i="1"/>
  <c r="A1421" i="1"/>
  <c r="B1418" i="1"/>
  <c r="A1418" i="1"/>
  <c r="B1417" i="1"/>
  <c r="A1417" i="1"/>
  <c r="B1416" i="1"/>
  <c r="A1416" i="1"/>
  <c r="B1415" i="1"/>
  <c r="A1415" i="1"/>
  <c r="B1414" i="1"/>
  <c r="A1414" i="1"/>
  <c r="B1411" i="1"/>
  <c r="A1411" i="1"/>
  <c r="B1410" i="1"/>
  <c r="A1410" i="1"/>
  <c r="B1409" i="1"/>
  <c r="A1409" i="1"/>
  <c r="B1408" i="1"/>
  <c r="A1408" i="1"/>
  <c r="B1407" i="1"/>
  <c r="A1407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7" i="1"/>
  <c r="A1307" i="1"/>
  <c r="B1306" i="1"/>
  <c r="A1306" i="1"/>
  <c r="B1303" i="1"/>
  <c r="A1303" i="1"/>
  <c r="B1302" i="1"/>
  <c r="A1302" i="1"/>
  <c r="B1299" i="1"/>
  <c r="A1299" i="1"/>
  <c r="B1298" i="1"/>
  <c r="A1298" i="1"/>
  <c r="B1295" i="1"/>
  <c r="A1295" i="1"/>
  <c r="B1294" i="1"/>
  <c r="A1294" i="1"/>
  <c r="B1291" i="1"/>
  <c r="A1291" i="1"/>
  <c r="B1290" i="1"/>
  <c r="A1290" i="1"/>
  <c r="B1287" i="1"/>
  <c r="A1287" i="1"/>
  <c r="B1286" i="1"/>
  <c r="A1286" i="1"/>
  <c r="B1283" i="1"/>
  <c r="A1283" i="1"/>
  <c r="B1282" i="1"/>
  <c r="A1282" i="1"/>
  <c r="B1281" i="1"/>
  <c r="A1281" i="1"/>
  <c r="B1278" i="1"/>
  <c r="A1278" i="1"/>
  <c r="B1277" i="1"/>
  <c r="A1277" i="1"/>
  <c r="B1276" i="1"/>
  <c r="A1276" i="1"/>
  <c r="B1275" i="1"/>
  <c r="A1275" i="1"/>
  <c r="B1272" i="1"/>
  <c r="A1272" i="1"/>
  <c r="B1271" i="1"/>
  <c r="A1271" i="1"/>
  <c r="B1270" i="1"/>
  <c r="A1270" i="1"/>
  <c r="B1269" i="1"/>
  <c r="A1269" i="1"/>
  <c r="B1266" i="1"/>
  <c r="A1266" i="1"/>
  <c r="B1265" i="1"/>
  <c r="A1265" i="1"/>
  <c r="B1264" i="1"/>
  <c r="A1264" i="1"/>
  <c r="B1263" i="1"/>
  <c r="A1263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3" i="1"/>
  <c r="A1253" i="1"/>
  <c r="B1252" i="1"/>
  <c r="A1252" i="1"/>
  <c r="B1251" i="1"/>
  <c r="A1251" i="1"/>
  <c r="B1250" i="1"/>
  <c r="A1250" i="1"/>
  <c r="B1249" i="1"/>
  <c r="A1249" i="1"/>
  <c r="B1246" i="1"/>
  <c r="A1246" i="1"/>
  <c r="B1245" i="1"/>
  <c r="A1245" i="1"/>
  <c r="B1244" i="1"/>
  <c r="A1244" i="1"/>
  <c r="B1243" i="1"/>
  <c r="A1243" i="1"/>
  <c r="B1240" i="1"/>
  <c r="A1240" i="1"/>
  <c r="B1239" i="1"/>
  <c r="A1239" i="1"/>
  <c r="B1238" i="1"/>
  <c r="A1238" i="1"/>
  <c r="B1237" i="1"/>
  <c r="A1237" i="1"/>
  <c r="B1236" i="1"/>
  <c r="A1236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5" i="1"/>
  <c r="A1225" i="1"/>
  <c r="B1224" i="1"/>
  <c r="A1224" i="1"/>
  <c r="B1223" i="1"/>
  <c r="A1223" i="1"/>
  <c r="B1222" i="1"/>
  <c r="A1222" i="1"/>
  <c r="B1221" i="1"/>
  <c r="A1221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5" i="1"/>
  <c r="A1145" i="1"/>
  <c r="B1144" i="1"/>
  <c r="A1144" i="1"/>
  <c r="B1141" i="1"/>
  <c r="A1141" i="1"/>
  <c r="B1140" i="1"/>
  <c r="A1140" i="1"/>
  <c r="B1139" i="1"/>
  <c r="A1139" i="1"/>
  <c r="B1136" i="1"/>
  <c r="A1136" i="1"/>
  <c r="B1135" i="1"/>
  <c r="A1135" i="1"/>
  <c r="B1134" i="1"/>
  <c r="A1134" i="1"/>
  <c r="B1131" i="1"/>
  <c r="A1131" i="1"/>
  <c r="B1130" i="1"/>
  <c r="A1130" i="1"/>
  <c r="B1129" i="1"/>
  <c r="A1129" i="1"/>
  <c r="B1126" i="1"/>
  <c r="A1126" i="1"/>
  <c r="B1125" i="1"/>
  <c r="A1125" i="1"/>
  <c r="B1124" i="1"/>
  <c r="A1124" i="1"/>
  <c r="B1122" i="1"/>
  <c r="A1122" i="1"/>
  <c r="B1121" i="1"/>
  <c r="A1121" i="1"/>
  <c r="B1120" i="1"/>
  <c r="A1120" i="1"/>
  <c r="B1117" i="1"/>
  <c r="A1117" i="1"/>
  <c r="B1116" i="1"/>
  <c r="A1116" i="1"/>
  <c r="B1115" i="1"/>
  <c r="A1115" i="1"/>
  <c r="B1112" i="1"/>
  <c r="A1112" i="1"/>
  <c r="B1111" i="1"/>
  <c r="A1111" i="1"/>
  <c r="B1108" i="1"/>
  <c r="A1108" i="1"/>
  <c r="B1107" i="1"/>
  <c r="A1107" i="1"/>
  <c r="B1104" i="1"/>
  <c r="A1104" i="1"/>
  <c r="B1103" i="1"/>
  <c r="A1103" i="1"/>
  <c r="B1102" i="1"/>
  <c r="A1102" i="1"/>
  <c r="B1099" i="1"/>
  <c r="A1099" i="1"/>
  <c r="B1098" i="1"/>
  <c r="A1098" i="1"/>
  <c r="B1097" i="1"/>
  <c r="A1097" i="1"/>
  <c r="B1094" i="1"/>
  <c r="A1094" i="1"/>
  <c r="B1093" i="1"/>
  <c r="A1093" i="1"/>
  <c r="B1092" i="1"/>
  <c r="A1092" i="1"/>
  <c r="B1089" i="1"/>
  <c r="A1089" i="1"/>
  <c r="B1088" i="1"/>
  <c r="A1088" i="1"/>
  <c r="B1087" i="1"/>
  <c r="A1087" i="1"/>
  <c r="B1084" i="1"/>
  <c r="A1084" i="1"/>
  <c r="B1083" i="1"/>
  <c r="A1083" i="1"/>
  <c r="B1082" i="1"/>
  <c r="A1082" i="1"/>
  <c r="B1079" i="1"/>
  <c r="A1079" i="1"/>
  <c r="B1078" i="1"/>
  <c r="A1078" i="1"/>
  <c r="B1077" i="1"/>
  <c r="A1077" i="1"/>
  <c r="B1074" i="1"/>
  <c r="A1074" i="1"/>
  <c r="B1073" i="1"/>
  <c r="A1073" i="1"/>
  <c r="B1072" i="1"/>
  <c r="A1072" i="1"/>
  <c r="B1069" i="1"/>
  <c r="A1069" i="1"/>
  <c r="B1068" i="1"/>
  <c r="A1068" i="1"/>
  <c r="B1067" i="1"/>
  <c r="A1067" i="1"/>
  <c r="B1064" i="1"/>
  <c r="A1064" i="1"/>
  <c r="B1063" i="1"/>
  <c r="A1063" i="1"/>
  <c r="B1062" i="1"/>
  <c r="A1062" i="1"/>
  <c r="B1061" i="1"/>
  <c r="A1061" i="1"/>
  <c r="B1060" i="1"/>
  <c r="A1060" i="1"/>
  <c r="B1057" i="1"/>
  <c r="A1057" i="1"/>
  <c r="B1056" i="1"/>
  <c r="A1056" i="1"/>
  <c r="B1055" i="1"/>
  <c r="A1055" i="1"/>
  <c r="B1054" i="1"/>
  <c r="A1054" i="1"/>
  <c r="B1053" i="1"/>
  <c r="A1053" i="1"/>
  <c r="B1050" i="1"/>
  <c r="A1050" i="1"/>
  <c r="B1049" i="1"/>
  <c r="A1049" i="1"/>
  <c r="B1048" i="1"/>
  <c r="A1048" i="1"/>
  <c r="B1047" i="1"/>
  <c r="A1047" i="1"/>
  <c r="B1046" i="1"/>
  <c r="A1046" i="1"/>
  <c r="B1043" i="1"/>
  <c r="A1043" i="1"/>
  <c r="B1042" i="1"/>
  <c r="A1042" i="1"/>
  <c r="B1041" i="1"/>
  <c r="A1041" i="1"/>
  <c r="B1040" i="1"/>
  <c r="A1040" i="1"/>
  <c r="B1039" i="1"/>
  <c r="A1039" i="1"/>
  <c r="B1036" i="1"/>
  <c r="A1036" i="1"/>
  <c r="B1035" i="1"/>
  <c r="A1035" i="1"/>
  <c r="B1034" i="1"/>
  <c r="A1034" i="1"/>
  <c r="B1033" i="1"/>
  <c r="A1033" i="1"/>
  <c r="B1032" i="1"/>
  <c r="A1032" i="1"/>
  <c r="B1029" i="1"/>
  <c r="A1029" i="1"/>
  <c r="B1028" i="1"/>
  <c r="A1028" i="1"/>
  <c r="B1027" i="1"/>
  <c r="A1027" i="1"/>
  <c r="B1024" i="1"/>
  <c r="A1024" i="1"/>
  <c r="B1023" i="1"/>
  <c r="A1023" i="1"/>
  <c r="B1020" i="1"/>
  <c r="A1020" i="1"/>
  <c r="B1019" i="1"/>
  <c r="A1019" i="1"/>
  <c r="B1018" i="1"/>
  <c r="A1018" i="1"/>
  <c r="B1015" i="1"/>
  <c r="A1015" i="1"/>
  <c r="B1014" i="1"/>
  <c r="A1014" i="1"/>
  <c r="B1012" i="1"/>
  <c r="A1012" i="1"/>
  <c r="B1011" i="1"/>
  <c r="A1011" i="1"/>
  <c r="B1010" i="1"/>
  <c r="A1010" i="1"/>
  <c r="B1007" i="1"/>
  <c r="A1007" i="1"/>
  <c r="B1006" i="1"/>
  <c r="A1006" i="1"/>
  <c r="B1005" i="1"/>
  <c r="A1005" i="1"/>
  <c r="B1004" i="1"/>
  <c r="A1004" i="1"/>
  <c r="B1001" i="1"/>
  <c r="A1001" i="1"/>
  <c r="B1000" i="1"/>
  <c r="A1000" i="1"/>
  <c r="B999" i="1"/>
  <c r="A999" i="1"/>
  <c r="B996" i="1"/>
  <c r="A996" i="1"/>
  <c r="B995" i="1"/>
  <c r="A995" i="1"/>
  <c r="B994" i="1"/>
  <c r="A994" i="1"/>
  <c r="B991" i="1"/>
  <c r="A991" i="1"/>
  <c r="B990" i="1"/>
  <c r="A990" i="1"/>
  <c r="B987" i="1"/>
  <c r="A987" i="1"/>
  <c r="B986" i="1"/>
  <c r="A986" i="1"/>
  <c r="B985" i="1"/>
  <c r="A985" i="1"/>
  <c r="B982" i="1"/>
  <c r="A982" i="1"/>
  <c r="B981" i="1"/>
  <c r="A981" i="1"/>
  <c r="B980" i="1"/>
  <c r="A980" i="1"/>
  <c r="B977" i="1"/>
  <c r="A977" i="1"/>
  <c r="B976" i="1"/>
  <c r="A976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3" i="1"/>
  <c r="A963" i="1"/>
  <c r="B962" i="1"/>
  <c r="A962" i="1"/>
  <c r="B961" i="1"/>
  <c r="A961" i="1"/>
  <c r="B958" i="1"/>
  <c r="A958" i="1"/>
  <c r="B957" i="1"/>
  <c r="A957" i="1"/>
  <c r="B956" i="1"/>
  <c r="A956" i="1"/>
  <c r="B953" i="1"/>
  <c r="A953" i="1"/>
  <c r="B952" i="1"/>
  <c r="A952" i="1"/>
  <c r="B951" i="1"/>
  <c r="A951" i="1"/>
  <c r="B950" i="1"/>
  <c r="A950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7" i="1"/>
  <c r="A937" i="1"/>
  <c r="B936" i="1"/>
  <c r="A936" i="1"/>
  <c r="B935" i="1"/>
  <c r="A935" i="1"/>
  <c r="B934" i="1"/>
  <c r="A934" i="1"/>
  <c r="B933" i="1"/>
  <c r="A933" i="1"/>
  <c r="B930" i="1"/>
  <c r="A930" i="1"/>
  <c r="B929" i="1"/>
  <c r="A929" i="1"/>
  <c r="B928" i="1"/>
  <c r="A928" i="1"/>
  <c r="B925" i="1"/>
  <c r="A925" i="1"/>
  <c r="B924" i="1"/>
  <c r="A924" i="1"/>
  <c r="B923" i="1"/>
  <c r="A923" i="1"/>
  <c r="B922" i="1"/>
  <c r="A922" i="1"/>
  <c r="B919" i="1"/>
  <c r="A919" i="1"/>
  <c r="B918" i="1"/>
  <c r="A918" i="1"/>
  <c r="B917" i="1"/>
  <c r="A917" i="1"/>
  <c r="B914" i="1"/>
  <c r="A914" i="1"/>
  <c r="B913" i="1"/>
  <c r="A913" i="1"/>
  <c r="B912" i="1"/>
  <c r="A912" i="1"/>
  <c r="B909" i="1"/>
  <c r="A909" i="1"/>
  <c r="B908" i="1"/>
  <c r="A908" i="1"/>
  <c r="B907" i="1"/>
  <c r="A907" i="1"/>
  <c r="B906" i="1"/>
  <c r="A906" i="1"/>
  <c r="B905" i="1"/>
  <c r="A905" i="1"/>
  <c r="B902" i="1"/>
  <c r="A902" i="1"/>
  <c r="B901" i="1"/>
  <c r="A901" i="1"/>
  <c r="B900" i="1"/>
  <c r="A900" i="1"/>
  <c r="B899" i="1"/>
  <c r="A899" i="1"/>
  <c r="B898" i="1"/>
  <c r="A898" i="1"/>
  <c r="B895" i="1"/>
  <c r="A895" i="1"/>
  <c r="B894" i="1"/>
  <c r="A894" i="1"/>
  <c r="B893" i="1"/>
  <c r="A893" i="1"/>
  <c r="B892" i="1"/>
  <c r="A892" i="1"/>
  <c r="B889" i="1"/>
  <c r="A889" i="1"/>
  <c r="B888" i="1"/>
  <c r="A888" i="1"/>
  <c r="B887" i="1"/>
  <c r="A887" i="1"/>
  <c r="B886" i="1"/>
  <c r="A886" i="1"/>
  <c r="B885" i="1"/>
  <c r="A885" i="1"/>
  <c r="B882" i="1"/>
  <c r="A882" i="1"/>
  <c r="B881" i="1"/>
  <c r="A881" i="1"/>
  <c r="B880" i="1"/>
  <c r="A880" i="1"/>
  <c r="B879" i="1"/>
  <c r="A879" i="1"/>
  <c r="B878" i="1"/>
  <c r="A878" i="1"/>
  <c r="B875" i="1"/>
  <c r="A875" i="1"/>
  <c r="B874" i="1"/>
  <c r="A874" i="1"/>
  <c r="B871" i="1"/>
  <c r="A871" i="1"/>
  <c r="B870" i="1"/>
  <c r="A870" i="1"/>
  <c r="B869" i="1"/>
  <c r="A869" i="1"/>
  <c r="B866" i="1"/>
  <c r="A866" i="1"/>
  <c r="B865" i="1"/>
  <c r="A865" i="1"/>
  <c r="B864" i="1"/>
  <c r="A864" i="1"/>
  <c r="B861" i="1"/>
  <c r="A861" i="1"/>
  <c r="B860" i="1"/>
  <c r="A860" i="1"/>
  <c r="B859" i="1"/>
  <c r="A859" i="1"/>
  <c r="B858" i="1"/>
  <c r="A858" i="1"/>
  <c r="B857" i="1"/>
  <c r="A857" i="1"/>
  <c r="B854" i="1"/>
  <c r="A854" i="1"/>
  <c r="B853" i="1"/>
  <c r="A853" i="1"/>
  <c r="B852" i="1"/>
  <c r="A852" i="1"/>
  <c r="B849" i="1"/>
  <c r="A849" i="1"/>
  <c r="B848" i="1"/>
  <c r="A848" i="1"/>
  <c r="B847" i="1"/>
  <c r="A847" i="1"/>
  <c r="B846" i="1"/>
  <c r="A846" i="1"/>
  <c r="B845" i="1"/>
  <c r="A845" i="1"/>
  <c r="B842" i="1"/>
  <c r="A842" i="1"/>
  <c r="B841" i="1"/>
  <c r="A841" i="1"/>
  <c r="B840" i="1"/>
  <c r="A840" i="1"/>
  <c r="B839" i="1"/>
  <c r="A839" i="1"/>
  <c r="B838" i="1"/>
  <c r="A838" i="1"/>
  <c r="B835" i="1"/>
  <c r="A835" i="1"/>
  <c r="B834" i="1"/>
  <c r="A834" i="1"/>
  <c r="B833" i="1"/>
  <c r="A833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1" i="1"/>
  <c r="A821" i="1"/>
  <c r="B820" i="1"/>
  <c r="A820" i="1"/>
  <c r="B819" i="1"/>
  <c r="A819" i="1"/>
  <c r="B818" i="1"/>
  <c r="A818" i="1"/>
  <c r="B817" i="1"/>
  <c r="A817" i="1"/>
  <c r="B814" i="1"/>
  <c r="A814" i="1"/>
  <c r="B813" i="1"/>
  <c r="A813" i="1"/>
  <c r="B812" i="1"/>
  <c r="A812" i="1"/>
  <c r="B811" i="1"/>
  <c r="A811" i="1"/>
  <c r="B810" i="1"/>
  <c r="A810" i="1"/>
  <c r="B807" i="1"/>
  <c r="A807" i="1"/>
  <c r="B806" i="1"/>
  <c r="A806" i="1"/>
  <c r="B805" i="1"/>
  <c r="A805" i="1"/>
  <c r="B802" i="1"/>
  <c r="A802" i="1"/>
  <c r="B801" i="1"/>
  <c r="A801" i="1"/>
  <c r="B800" i="1"/>
  <c r="A800" i="1"/>
  <c r="B799" i="1"/>
  <c r="A799" i="1"/>
  <c r="B796" i="1"/>
  <c r="A796" i="1"/>
  <c r="B795" i="1"/>
  <c r="A795" i="1"/>
  <c r="B794" i="1"/>
  <c r="A794" i="1"/>
  <c r="B793" i="1"/>
  <c r="A793" i="1"/>
  <c r="B790" i="1"/>
  <c r="A790" i="1"/>
  <c r="B789" i="1"/>
  <c r="A789" i="1"/>
  <c r="B788" i="1"/>
  <c r="A788" i="1"/>
  <c r="B785" i="1"/>
  <c r="A785" i="1"/>
  <c r="B784" i="1"/>
  <c r="A784" i="1"/>
  <c r="B783" i="1"/>
  <c r="A783" i="1"/>
  <c r="B780" i="1"/>
  <c r="A780" i="1"/>
  <c r="B779" i="1"/>
  <c r="A779" i="1"/>
  <c r="B778" i="1"/>
  <c r="A778" i="1"/>
  <c r="B775" i="1"/>
  <c r="A775" i="1"/>
  <c r="B774" i="1"/>
  <c r="A774" i="1"/>
  <c r="B771" i="1"/>
  <c r="A771" i="1"/>
  <c r="B770" i="1"/>
  <c r="A770" i="1"/>
  <c r="B767" i="1"/>
  <c r="A767" i="1"/>
  <c r="B766" i="1"/>
  <c r="A766" i="1"/>
  <c r="B763" i="1"/>
  <c r="A763" i="1"/>
  <c r="B762" i="1"/>
  <c r="A762" i="1"/>
  <c r="B761" i="1"/>
  <c r="A761" i="1"/>
  <c r="B758" i="1"/>
  <c r="A758" i="1"/>
  <c r="B757" i="1"/>
  <c r="A757" i="1"/>
  <c r="B754" i="1"/>
  <c r="A754" i="1"/>
  <c r="B753" i="1"/>
  <c r="A753" i="1"/>
  <c r="B750" i="1"/>
  <c r="A750" i="1"/>
  <c r="B749" i="1"/>
  <c r="A749" i="1"/>
  <c r="B746" i="1"/>
  <c r="A746" i="1"/>
  <c r="B745" i="1"/>
  <c r="A745" i="1"/>
  <c r="B742" i="1"/>
  <c r="A742" i="1"/>
  <c r="B741" i="1"/>
  <c r="A741" i="1"/>
  <c r="B738" i="1"/>
  <c r="A738" i="1"/>
  <c r="B737" i="1"/>
  <c r="A737" i="1"/>
  <c r="B734" i="1"/>
  <c r="A734" i="1"/>
  <c r="B733" i="1"/>
  <c r="A733" i="1"/>
  <c r="B730" i="1"/>
  <c r="A730" i="1"/>
  <c r="B729" i="1"/>
  <c r="A729" i="1"/>
  <c r="B726" i="1"/>
  <c r="A726" i="1"/>
  <c r="B725" i="1"/>
  <c r="A725" i="1"/>
  <c r="B724" i="1"/>
  <c r="A724" i="1"/>
  <c r="B723" i="1"/>
  <c r="A723" i="1"/>
  <c r="B720" i="1"/>
  <c r="A720" i="1"/>
  <c r="B719" i="1"/>
  <c r="A719" i="1"/>
  <c r="B718" i="1"/>
  <c r="A718" i="1"/>
  <c r="B717" i="1"/>
  <c r="A717" i="1"/>
  <c r="B714" i="1"/>
  <c r="A714" i="1"/>
  <c r="B713" i="1"/>
  <c r="A713" i="1"/>
  <c r="B712" i="1"/>
  <c r="A712" i="1"/>
  <c r="B709" i="1"/>
  <c r="A709" i="1"/>
  <c r="B708" i="1"/>
  <c r="A708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0" i="1"/>
  <c r="A690" i="1"/>
  <c r="B689" i="1"/>
  <c r="A689" i="1"/>
  <c r="B688" i="1"/>
  <c r="A688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69" i="1"/>
  <c r="A669" i="1"/>
  <c r="B668" i="1"/>
  <c r="A668" i="1"/>
  <c r="B665" i="1"/>
  <c r="A665" i="1"/>
  <c r="B664" i="1"/>
  <c r="A664" i="1"/>
  <c r="B663" i="1"/>
  <c r="A663" i="1"/>
  <c r="B660" i="1"/>
  <c r="A660" i="1"/>
  <c r="B659" i="1"/>
  <c r="A659" i="1"/>
  <c r="B656" i="1"/>
  <c r="A656" i="1"/>
  <c r="B655" i="1"/>
  <c r="A655" i="1"/>
  <c r="B652" i="1"/>
  <c r="A652" i="1"/>
  <c r="B651" i="1"/>
  <c r="A651" i="1"/>
  <c r="B648" i="1"/>
  <c r="A648" i="1"/>
  <c r="B647" i="1"/>
  <c r="A647" i="1"/>
  <c r="B644" i="1"/>
  <c r="A644" i="1"/>
  <c r="B643" i="1"/>
  <c r="A643" i="1"/>
  <c r="B642" i="1"/>
  <c r="A642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0" i="1"/>
  <c r="A630" i="1"/>
  <c r="B629" i="1"/>
  <c r="A629" i="1"/>
  <c r="B628" i="1"/>
  <c r="A628" i="1"/>
  <c r="B627" i="1"/>
  <c r="A627" i="1"/>
  <c r="B626" i="1"/>
  <c r="A626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6" i="1"/>
  <c r="A586" i="1"/>
  <c r="B585" i="1"/>
  <c r="A585" i="1"/>
  <c r="B582" i="1"/>
  <c r="A582" i="1"/>
  <c r="B581" i="1"/>
  <c r="A581" i="1"/>
  <c r="B578" i="1"/>
  <c r="A578" i="1"/>
  <c r="B577" i="1"/>
  <c r="A577" i="1"/>
  <c r="B576" i="1"/>
  <c r="A576" i="1"/>
  <c r="B575" i="1"/>
  <c r="A575" i="1"/>
  <c r="B572" i="1"/>
  <c r="A572" i="1"/>
  <c r="B571" i="1"/>
  <c r="A571" i="1"/>
  <c r="B570" i="1"/>
  <c r="A570" i="1"/>
  <c r="B567" i="1"/>
  <c r="A567" i="1"/>
  <c r="B566" i="1"/>
  <c r="A566" i="1"/>
  <c r="B565" i="1"/>
  <c r="A565" i="1"/>
  <c r="B564" i="1"/>
  <c r="A564" i="1"/>
  <c r="B561" i="1"/>
  <c r="A561" i="1"/>
  <c r="B560" i="1"/>
  <c r="A560" i="1"/>
  <c r="B559" i="1"/>
  <c r="A559" i="1"/>
  <c r="B558" i="1"/>
  <c r="A558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7" i="1"/>
  <c r="A547" i="1"/>
  <c r="B546" i="1"/>
  <c r="A546" i="1"/>
  <c r="B545" i="1"/>
  <c r="A545" i="1"/>
  <c r="B544" i="1"/>
  <c r="A544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6" i="1"/>
  <c r="A516" i="1"/>
  <c r="B515" i="1"/>
  <c r="A515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4" i="1"/>
  <c r="A504" i="1"/>
  <c r="B503" i="1"/>
  <c r="A503" i="1"/>
  <c r="B502" i="1"/>
  <c r="A502" i="1"/>
  <c r="B499" i="1"/>
  <c r="A499" i="1"/>
  <c r="B498" i="1"/>
  <c r="A498" i="1"/>
  <c r="B497" i="1"/>
  <c r="A497" i="1"/>
  <c r="B496" i="1"/>
  <c r="A496" i="1"/>
  <c r="B495" i="1"/>
  <c r="A495" i="1"/>
  <c r="B492" i="1"/>
  <c r="A492" i="1"/>
  <c r="B491" i="1"/>
  <c r="A491" i="1"/>
  <c r="B490" i="1"/>
  <c r="A490" i="1"/>
  <c r="B489" i="1"/>
  <c r="A489" i="1"/>
  <c r="B488" i="1"/>
  <c r="A488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6" i="1"/>
  <c r="A476" i="1"/>
  <c r="B475" i="1"/>
  <c r="A475" i="1"/>
  <c r="B474" i="1"/>
  <c r="A474" i="1"/>
  <c r="B473" i="1"/>
  <c r="A473" i="1"/>
  <c r="B472" i="1"/>
  <c r="A472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0" i="1"/>
  <c r="A460" i="1"/>
  <c r="B459" i="1"/>
  <c r="A459" i="1"/>
  <c r="B458" i="1"/>
  <c r="A458" i="1"/>
  <c r="B457" i="1"/>
  <c r="A457" i="1"/>
  <c r="B456" i="1"/>
  <c r="A456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3" i="1"/>
  <c r="A443" i="1"/>
  <c r="B442" i="1"/>
  <c r="A442" i="1"/>
  <c r="B441" i="1"/>
  <c r="A441" i="1"/>
  <c r="B440" i="1"/>
  <c r="A440" i="1"/>
  <c r="B439" i="1"/>
  <c r="A439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6" i="1"/>
  <c r="A426" i="1"/>
  <c r="B425" i="1"/>
  <c r="A425" i="1"/>
  <c r="B424" i="1"/>
  <c r="A424" i="1"/>
  <c r="B423" i="1"/>
  <c r="A423" i="1"/>
  <c r="B422" i="1"/>
  <c r="A422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0" i="1"/>
  <c r="A390" i="1"/>
  <c r="B389" i="1"/>
  <c r="A389" i="1"/>
  <c r="B388" i="1"/>
  <c r="A388" i="1"/>
  <c r="B387" i="1"/>
  <c r="A387" i="1"/>
  <c r="B386" i="1"/>
  <c r="A386" i="1"/>
  <c r="B383" i="1"/>
  <c r="A383" i="1"/>
  <c r="B382" i="1"/>
  <c r="A382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1" i="1"/>
  <c r="A371" i="1"/>
  <c r="B370" i="1"/>
  <c r="A370" i="1"/>
  <c r="B369" i="1"/>
  <c r="A369" i="1"/>
  <c r="B368" i="1"/>
  <c r="A368" i="1"/>
  <c r="B367" i="1"/>
  <c r="A367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48" i="1"/>
  <c r="A348" i="1"/>
  <c r="B347" i="1"/>
  <c r="A347" i="1"/>
  <c r="B346" i="1"/>
  <c r="A346" i="1"/>
  <c r="B345" i="1"/>
  <c r="A345" i="1"/>
  <c r="B344" i="1"/>
  <c r="A344" i="1"/>
  <c r="B341" i="1"/>
  <c r="A341" i="1"/>
  <c r="B340" i="1"/>
  <c r="A340" i="1"/>
  <c r="B339" i="1"/>
  <c r="A339" i="1"/>
  <c r="B338" i="1"/>
  <c r="A338" i="1"/>
  <c r="B337" i="1"/>
  <c r="A337" i="1"/>
  <c r="B334" i="1"/>
  <c r="A334" i="1"/>
  <c r="B333" i="1"/>
  <c r="A333" i="1"/>
  <c r="B332" i="1"/>
  <c r="A332" i="1"/>
  <c r="B331" i="1"/>
  <c r="A331" i="1"/>
  <c r="B328" i="1"/>
  <c r="A328" i="1"/>
  <c r="B327" i="1"/>
  <c r="A327" i="1"/>
  <c r="B326" i="1"/>
  <c r="A326" i="1"/>
  <c r="B325" i="1"/>
  <c r="A325" i="1"/>
  <c r="B324" i="1"/>
  <c r="A324" i="1"/>
  <c r="B321" i="1"/>
  <c r="A321" i="1"/>
  <c r="B320" i="1"/>
  <c r="A320" i="1"/>
  <c r="B319" i="1"/>
  <c r="A319" i="1"/>
  <c r="B318" i="1"/>
  <c r="A318" i="1"/>
  <c r="B315" i="1"/>
  <c r="A315" i="1"/>
  <c r="B314" i="1"/>
  <c r="A314" i="1"/>
  <c r="B311" i="1"/>
  <c r="A311" i="1"/>
  <c r="B310" i="1"/>
  <c r="A310" i="1"/>
  <c r="B307" i="1"/>
  <c r="A307" i="1"/>
  <c r="B306" i="1"/>
  <c r="A306" i="1"/>
  <c r="B303" i="1"/>
  <c r="A303" i="1"/>
  <c r="B302" i="1"/>
  <c r="A302" i="1"/>
  <c r="B299" i="1"/>
  <c r="A299" i="1"/>
  <c r="B298" i="1"/>
  <c r="A298" i="1"/>
  <c r="B295" i="1"/>
  <c r="A295" i="1"/>
  <c r="B294" i="1"/>
  <c r="A294" i="1"/>
  <c r="B291" i="1"/>
  <c r="A291" i="1"/>
  <c r="B290" i="1"/>
  <c r="A290" i="1"/>
  <c r="B289" i="1"/>
  <c r="A289" i="1"/>
  <c r="B286" i="1"/>
  <c r="A286" i="1"/>
  <c r="B285" i="1"/>
  <c r="A285" i="1"/>
  <c r="B284" i="1"/>
  <c r="A284" i="1"/>
  <c r="B281" i="1"/>
  <c r="A281" i="1"/>
  <c r="B280" i="1"/>
  <c r="A280" i="1"/>
  <c r="B279" i="1"/>
  <c r="A279" i="1"/>
  <c r="B278" i="1"/>
  <c r="A278" i="1"/>
  <c r="B275" i="1"/>
  <c r="A275" i="1"/>
  <c r="B274" i="1"/>
  <c r="A274" i="1"/>
  <c r="B273" i="1"/>
  <c r="A273" i="1"/>
  <c r="B270" i="1"/>
  <c r="A270" i="1"/>
  <c r="B269" i="1"/>
  <c r="A269" i="1"/>
  <c r="B266" i="1"/>
  <c r="A266" i="1"/>
  <c r="B265" i="1"/>
  <c r="A265" i="1"/>
  <c r="B264" i="1"/>
  <c r="A264" i="1"/>
  <c r="B261" i="1"/>
  <c r="A261" i="1"/>
  <c r="B260" i="1"/>
  <c r="A260" i="1"/>
  <c r="B257" i="1"/>
  <c r="A257" i="1"/>
  <c r="B256" i="1"/>
  <c r="A256" i="1"/>
  <c r="B255" i="1"/>
  <c r="A255" i="1"/>
  <c r="B252" i="1"/>
  <c r="A252" i="1"/>
  <c r="B251" i="1"/>
  <c r="A251" i="1"/>
  <c r="B248" i="1"/>
  <c r="A248" i="1"/>
  <c r="B247" i="1"/>
  <c r="A247" i="1"/>
  <c r="B246" i="1"/>
  <c r="A246" i="1"/>
  <c r="B243" i="1"/>
  <c r="A243" i="1"/>
  <c r="B242" i="1"/>
  <c r="A242" i="1"/>
  <c r="B239" i="1"/>
  <c r="A239" i="1"/>
  <c r="B238" i="1"/>
  <c r="A238" i="1"/>
  <c r="B237" i="1"/>
  <c r="A237" i="1"/>
  <c r="B234" i="1"/>
  <c r="A234" i="1"/>
  <c r="B233" i="1"/>
  <c r="A233" i="1"/>
  <c r="B232" i="1"/>
  <c r="A232" i="1"/>
  <c r="B229" i="1"/>
  <c r="A229" i="1"/>
  <c r="B228" i="1"/>
  <c r="A228" i="1"/>
  <c r="B227" i="1"/>
  <c r="A227" i="1"/>
  <c r="B226" i="1"/>
  <c r="A226" i="1"/>
  <c r="B225" i="1"/>
  <c r="A225" i="1"/>
  <c r="B222" i="1"/>
  <c r="A222" i="1"/>
  <c r="B221" i="1"/>
  <c r="A221" i="1"/>
  <c r="B220" i="1"/>
  <c r="A220" i="1"/>
  <c r="B219" i="1"/>
  <c r="A219" i="1"/>
  <c r="B218" i="1"/>
  <c r="A218" i="1"/>
  <c r="B215" i="1"/>
  <c r="A215" i="1"/>
  <c r="B214" i="1"/>
  <c r="A214" i="1"/>
  <c r="B211" i="1"/>
  <c r="A211" i="1"/>
  <c r="B210" i="1"/>
  <c r="A210" i="1"/>
  <c r="B207" i="1"/>
  <c r="A207" i="1"/>
  <c r="B206" i="1"/>
  <c r="A206" i="1"/>
  <c r="B203" i="1"/>
  <c r="A203" i="1"/>
  <c r="B202" i="1"/>
  <c r="A202" i="1"/>
  <c r="B199" i="1"/>
  <c r="A199" i="1"/>
  <c r="B198" i="1"/>
  <c r="A198" i="1"/>
  <c r="B197" i="1"/>
  <c r="A197" i="1"/>
  <c r="B196" i="1"/>
  <c r="A196" i="1"/>
  <c r="B195" i="1"/>
  <c r="A195" i="1"/>
  <c r="B192" i="1"/>
  <c r="A192" i="1"/>
  <c r="B191" i="1"/>
  <c r="A191" i="1"/>
  <c r="B190" i="1"/>
  <c r="A190" i="1"/>
  <c r="B189" i="1"/>
  <c r="A189" i="1"/>
  <c r="B186" i="1"/>
  <c r="A186" i="1"/>
  <c r="B185" i="1"/>
  <c r="A185" i="1"/>
  <c r="B182" i="1"/>
  <c r="A182" i="1"/>
  <c r="B181" i="1"/>
  <c r="A181" i="1"/>
  <c r="B180" i="1"/>
  <c r="A180" i="1"/>
  <c r="B179" i="1"/>
  <c r="A179" i="1"/>
  <c r="B176" i="1"/>
  <c r="A176" i="1"/>
  <c r="B175" i="1"/>
  <c r="A175" i="1"/>
  <c r="B172" i="1"/>
  <c r="A172" i="1"/>
  <c r="B171" i="1"/>
  <c r="A171" i="1"/>
  <c r="B168" i="1"/>
  <c r="A168" i="1"/>
  <c r="B167" i="1"/>
  <c r="A167" i="1"/>
  <c r="B164" i="1"/>
  <c r="A164" i="1"/>
  <c r="B163" i="1"/>
  <c r="A163" i="1"/>
  <c r="B162" i="1"/>
  <c r="A162" i="1"/>
  <c r="B159" i="1"/>
  <c r="A159" i="1"/>
  <c r="B158" i="1"/>
  <c r="A158" i="1"/>
  <c r="B157" i="1"/>
  <c r="A157" i="1"/>
  <c r="B154" i="1"/>
  <c r="A154" i="1"/>
  <c r="B153" i="1"/>
  <c r="A153" i="1"/>
  <c r="B150" i="1"/>
  <c r="A150" i="1"/>
  <c r="B149" i="1"/>
  <c r="A149" i="1"/>
  <c r="B146" i="1"/>
  <c r="A146" i="1"/>
  <c r="B145" i="1"/>
  <c r="A145" i="1"/>
  <c r="B142" i="1"/>
  <c r="A142" i="1"/>
  <c r="B141" i="1"/>
  <c r="A141" i="1"/>
  <c r="B140" i="1"/>
  <c r="A140" i="1"/>
  <c r="B139" i="1"/>
  <c r="A139" i="1"/>
  <c r="B138" i="1"/>
  <c r="A138" i="1"/>
  <c r="B135" i="1"/>
  <c r="A135" i="1"/>
  <c r="B134" i="1"/>
  <c r="A134" i="1"/>
  <c r="B133" i="1"/>
  <c r="A133" i="1"/>
  <c r="B132" i="1"/>
  <c r="A132" i="1"/>
  <c r="B131" i="1"/>
  <c r="A131" i="1"/>
  <c r="B128" i="1"/>
  <c r="A128" i="1"/>
  <c r="B127" i="1"/>
  <c r="A127" i="1"/>
  <c r="B126" i="1"/>
  <c r="A126" i="1"/>
  <c r="B125" i="1"/>
  <c r="A125" i="1"/>
  <c r="B124" i="1"/>
  <c r="A124" i="1"/>
  <c r="B121" i="1"/>
  <c r="A121" i="1"/>
  <c r="B120" i="1"/>
  <c r="A120" i="1"/>
  <c r="B119" i="1"/>
  <c r="A119" i="1"/>
  <c r="B118" i="1"/>
  <c r="A118" i="1"/>
  <c r="B117" i="1"/>
  <c r="A117" i="1"/>
  <c r="B114" i="1"/>
  <c r="A114" i="1"/>
  <c r="B113" i="1"/>
  <c r="A113" i="1"/>
  <c r="B112" i="1"/>
  <c r="A112" i="1"/>
  <c r="B111" i="1"/>
  <c r="A111" i="1"/>
  <c r="B108" i="1"/>
  <c r="A108" i="1"/>
  <c r="B107" i="1"/>
  <c r="A107" i="1"/>
  <c r="B106" i="1"/>
  <c r="A106" i="1"/>
  <c r="B105" i="1"/>
  <c r="A105" i="1"/>
  <c r="B104" i="1"/>
  <c r="A104" i="1"/>
  <c r="B101" i="1"/>
  <c r="A101" i="1"/>
  <c r="B100" i="1"/>
  <c r="A100" i="1"/>
  <c r="B97" i="1"/>
  <c r="A97" i="1"/>
  <c r="B96" i="1"/>
  <c r="A96" i="1"/>
  <c r="B95" i="1"/>
  <c r="A95" i="1"/>
  <c r="B94" i="1"/>
  <c r="A94" i="1"/>
  <c r="B91" i="1"/>
  <c r="A91" i="1"/>
  <c r="B90" i="1"/>
  <c r="A90" i="1"/>
  <c r="B88" i="1"/>
  <c r="A88" i="1"/>
  <c r="B87" i="1"/>
  <c r="A87" i="1"/>
  <c r="B86" i="1"/>
  <c r="A86" i="1"/>
  <c r="B85" i="1"/>
  <c r="A85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2" i="1"/>
  <c r="A62" i="1"/>
  <c r="B61" i="1"/>
  <c r="A61" i="1"/>
  <c r="B60" i="1"/>
  <c r="A60" i="1"/>
  <c r="B57" i="1"/>
  <c r="A57" i="1"/>
  <c r="B56" i="1"/>
  <c r="A56" i="1"/>
  <c r="B55" i="1"/>
  <c r="A55" i="1"/>
  <c r="B52" i="1"/>
  <c r="A52" i="1"/>
  <c r="B51" i="1"/>
  <c r="A51" i="1"/>
  <c r="B50" i="1"/>
  <c r="A50" i="1"/>
  <c r="B47" i="1"/>
  <c r="A47" i="1"/>
  <c r="B46" i="1"/>
  <c r="A46" i="1"/>
  <c r="B45" i="1"/>
  <c r="A45" i="1"/>
  <c r="B42" i="1"/>
  <c r="A42" i="1"/>
  <c r="B41" i="1"/>
  <c r="A41" i="1"/>
  <c r="B38" i="1"/>
  <c r="A38" i="1"/>
  <c r="B37" i="1"/>
  <c r="A37" i="1"/>
  <c r="B35" i="1"/>
  <c r="A35" i="1"/>
  <c r="B34" i="1"/>
  <c r="A34" i="1"/>
  <c r="B33" i="1"/>
  <c r="A33" i="1"/>
  <c r="B30" i="1"/>
  <c r="A30" i="1"/>
  <c r="B29" i="1"/>
  <c r="A29" i="1"/>
  <c r="B28" i="1"/>
  <c r="A28" i="1"/>
  <c r="B27" i="1"/>
  <c r="A27" i="1"/>
  <c r="B26" i="1"/>
  <c r="A26" i="1"/>
  <c r="B23" i="1"/>
  <c r="A23" i="1"/>
  <c r="B22" i="1"/>
  <c r="A22" i="1"/>
  <c r="B21" i="1"/>
  <c r="A21" i="1"/>
  <c r="B18" i="1"/>
  <c r="A18" i="1"/>
  <c r="B17" i="1"/>
  <c r="A17" i="1"/>
  <c r="B16" i="1"/>
  <c r="A16" i="1"/>
  <c r="B15" i="1"/>
  <c r="A15" i="1"/>
  <c r="B12" i="1"/>
  <c r="A12" i="1"/>
  <c r="B11" i="1"/>
  <c r="A11" i="1"/>
  <c r="B10" i="1"/>
  <c r="A10" i="1"/>
  <c r="B7" i="1"/>
  <c r="A7" i="1"/>
  <c r="B6" i="1"/>
  <c r="A6" i="1"/>
  <c r="B3" i="1"/>
  <c r="A3" i="1"/>
  <c r="B2" i="1"/>
  <c r="A2" i="1"/>
</calcChain>
</file>

<file path=xl/sharedStrings.xml><?xml version="1.0" encoding="utf-8"?>
<sst xmlns="http://schemas.openxmlformats.org/spreadsheetml/2006/main" count="8757" uniqueCount="876">
  <si>
    <t>Viitehinta-ryhmä</t>
  </si>
  <si>
    <t>Vnr</t>
  </si>
  <si>
    <t>Kauppanimi</t>
  </si>
  <si>
    <t>Vahvuus</t>
  </si>
  <si>
    <t>Lääkemuoto</t>
  </si>
  <si>
    <t>Pakkaus-koko</t>
  </si>
  <si>
    <t>Lääkeaine</t>
  </si>
  <si>
    <t>ATC-koodi</t>
  </si>
  <si>
    <t>Myyntiluvan haltija</t>
  </si>
  <si>
    <t>Valmistetyyppi</t>
  </si>
  <si>
    <t>Nykyinen vahvistettu th, €</t>
  </si>
  <si>
    <t>ZANTAC</t>
  </si>
  <si>
    <t>300 mg</t>
  </si>
  <si>
    <t>tabletti, kalvopäällysteinen</t>
  </si>
  <si>
    <t>Ranitidiini</t>
  </si>
  <si>
    <t>A02BA02</t>
  </si>
  <si>
    <t>Glaxo Operations UK Limited</t>
  </si>
  <si>
    <t>Alkuperäisvalmiste</t>
  </si>
  <si>
    <t>RANIXAL</t>
  </si>
  <si>
    <t>ratiopharm GmbH</t>
  </si>
  <si>
    <t>Rinnakkaisvalmiste</t>
  </si>
  <si>
    <t>SOMAC</t>
  </si>
  <si>
    <t>20 mg</t>
  </si>
  <si>
    <t>enterotabletti</t>
  </si>
  <si>
    <t>Pantopratsoli</t>
  </si>
  <si>
    <t>A02BC02</t>
  </si>
  <si>
    <t>Takeda GmbH</t>
  </si>
  <si>
    <t>PANTOPRAZOL KRKA</t>
  </si>
  <si>
    <t>KRKA Sverige AB</t>
  </si>
  <si>
    <t>PANTOPRAZOL MYLAN</t>
  </si>
  <si>
    <t>Mylan AB</t>
  </si>
  <si>
    <t>PANTOPRAZOL PENSA</t>
  </si>
  <si>
    <t>Pensa Pharma AB</t>
  </si>
  <si>
    <t>40 mg</t>
  </si>
  <si>
    <t>PANTOPRAZOL ACTAVIS</t>
  </si>
  <si>
    <t>Actavis Group PTC ehf</t>
  </si>
  <si>
    <t>PANTOPRAZOL SANDOZ</t>
  </si>
  <si>
    <t>Sandoz A/S</t>
  </si>
  <si>
    <t>PARIET</t>
  </si>
  <si>
    <t>10 mg</t>
  </si>
  <si>
    <t>Rabepratsoli</t>
  </si>
  <si>
    <t>A02BC04</t>
  </si>
  <si>
    <t>Eisai AB</t>
  </si>
  <si>
    <t>RABEPRAZOL KRKA</t>
  </si>
  <si>
    <t>RABEPRAZOL NAVAMEDIC</t>
  </si>
  <si>
    <t>Navamedic ASA</t>
  </si>
  <si>
    <t>NEXIUM</t>
  </si>
  <si>
    <t>Esomepratsoli</t>
  </si>
  <si>
    <t>A02BC05</t>
  </si>
  <si>
    <t>AstraZeneca Oy</t>
  </si>
  <si>
    <t>ESOMEPRAZOL SANDOZ</t>
  </si>
  <si>
    <t>ESOMEPRAZOL RATIOPHARM</t>
  </si>
  <si>
    <t>enterokapseli, kova</t>
  </si>
  <si>
    <t>ESOMEPRAZOL ACTAVIS</t>
  </si>
  <si>
    <t>ESOMEPRAZOL ORION</t>
  </si>
  <si>
    <t>Ranbaxy (UK) Limited</t>
  </si>
  <si>
    <t>ESOMEPRAZOL NAVAMEDIC</t>
  </si>
  <si>
    <t>ESOMEPRAZOL KRKA</t>
  </si>
  <si>
    <t>ZOFRAN ZYDIS</t>
  </si>
  <si>
    <t>4 mg</t>
  </si>
  <si>
    <t>tabletti, kylmäkuivattu</t>
  </si>
  <si>
    <t>Ondansetroni</t>
  </si>
  <si>
    <t>A04AA01</t>
  </si>
  <si>
    <t>Novartis Finland Oy</t>
  </si>
  <si>
    <t>ONDANSETRON STADA</t>
  </si>
  <si>
    <t>Stada Arzneimittel AG</t>
  </si>
  <si>
    <t>ONDANSETRON BLUEFISH</t>
  </si>
  <si>
    <t>Bluefish Pharmaceuticals AB</t>
  </si>
  <si>
    <t>tabletti, suussa hajoava</t>
  </si>
  <si>
    <t>10 x 1</t>
  </si>
  <si>
    <t>ZOFRAN</t>
  </si>
  <si>
    <t>8 mg</t>
  </si>
  <si>
    <t>PENTASA</t>
  </si>
  <si>
    <t>1 g</t>
  </si>
  <si>
    <t>peräpuikko</t>
  </si>
  <si>
    <t>Mesalatsiini</t>
  </si>
  <si>
    <t>A07EC02</t>
  </si>
  <si>
    <t>Ferring Lääkkeet Oy</t>
  </si>
  <si>
    <t>SALOFALK</t>
  </si>
  <si>
    <t>Dr. Falk Pharma GmbH</t>
  </si>
  <si>
    <t>ACTOS</t>
  </si>
  <si>
    <t>30 mg</t>
  </si>
  <si>
    <t>tabletti</t>
  </si>
  <si>
    <t>Pioglitatsoni</t>
  </si>
  <si>
    <t>A10BG03</t>
  </si>
  <si>
    <t>Takeda Pharma A/S</t>
  </si>
  <si>
    <t>Paranova Oy</t>
  </si>
  <si>
    <t>Rinnakkaistuontivalmiste</t>
  </si>
  <si>
    <t>Orifarm Oy</t>
  </si>
  <si>
    <t>PIOGLITAZONE ACCORD</t>
  </si>
  <si>
    <t>Accord Healthcare Limited</t>
  </si>
  <si>
    <t>PIOGLITAZONE TEVA PHARMA</t>
  </si>
  <si>
    <t>Teva B.V.</t>
  </si>
  <si>
    <t>15 mg</t>
  </si>
  <si>
    <t>PIOGLITAZONE ACTAVIS</t>
  </si>
  <si>
    <t>NOVONORM</t>
  </si>
  <si>
    <t>0.5 mg</t>
  </si>
  <si>
    <t>Repaglinidi</t>
  </si>
  <si>
    <t>A10BX02</t>
  </si>
  <si>
    <t>Novo Nordisk A/S</t>
  </si>
  <si>
    <t>REPAGLINID ACTAVIS</t>
  </si>
  <si>
    <t>REPAGLINID STADA</t>
  </si>
  <si>
    <t>REPAGLINIDE KRKA</t>
  </si>
  <si>
    <t>KRKA, d.d., Novo mesto</t>
  </si>
  <si>
    <t>REPAGLINIDE ACCORD</t>
  </si>
  <si>
    <t>1 mg</t>
  </si>
  <si>
    <t>2 mg</t>
  </si>
  <si>
    <t>ETALPHA</t>
  </si>
  <si>
    <t>0.25 mikrog</t>
  </si>
  <si>
    <t>kapseli, pehmeä</t>
  </si>
  <si>
    <t>Alfakalsidoli</t>
  </si>
  <si>
    <t>A11CC03</t>
  </si>
  <si>
    <t>Leo Pharma A/S</t>
  </si>
  <si>
    <t>ALFACALCIDOL ORIFARM</t>
  </si>
  <si>
    <t>Orifarm Generics A/S</t>
  </si>
  <si>
    <t>0.5 mikrog</t>
  </si>
  <si>
    <t>ASASANTIN RETARD</t>
  </si>
  <si>
    <t>säädellysti vapauttava kapseli, kova</t>
  </si>
  <si>
    <t>2 x 50</t>
  </si>
  <si>
    <t>Yhdistelmävalmisteet</t>
  </si>
  <si>
    <t>B01AC30</t>
  </si>
  <si>
    <t>Boehringer Ingelheim International GmbH</t>
  </si>
  <si>
    <t>ORISANTIN</t>
  </si>
  <si>
    <t>200 mg / 25 mg</t>
  </si>
  <si>
    <t>Orion Corporation Orion Pharma</t>
  </si>
  <si>
    <t>PHYSIOTENS</t>
  </si>
  <si>
    <t>0.2 mg</t>
  </si>
  <si>
    <t>Moksonidiini</t>
  </si>
  <si>
    <t>C02AC05</t>
  </si>
  <si>
    <t>BGP Products Oy</t>
  </si>
  <si>
    <t>MOXONIDIN STADA</t>
  </si>
  <si>
    <t>MOXONIDIN ACTAVIS</t>
  </si>
  <si>
    <t>0.4 mg</t>
  </si>
  <si>
    <t>NATRILIX RETARD</t>
  </si>
  <si>
    <t>1.5 mg</t>
  </si>
  <si>
    <t>depottabletti</t>
  </si>
  <si>
    <t>Indapamidi</t>
  </si>
  <si>
    <t>C03BA11</t>
  </si>
  <si>
    <t>Les Laboratoires Servier</t>
  </si>
  <si>
    <t>INDAPAMIDE ORION</t>
  </si>
  <si>
    <t>VISKEN</t>
  </si>
  <si>
    <t>Pindololi</t>
  </si>
  <si>
    <t>C07AA03</t>
  </si>
  <si>
    <t>PINLOC</t>
  </si>
  <si>
    <t>Orion Oyj</t>
  </si>
  <si>
    <t>SELOKEN ZOC</t>
  </si>
  <si>
    <t>47.5 mg</t>
  </si>
  <si>
    <t>Metoprololi</t>
  </si>
  <si>
    <t>C07AB02</t>
  </si>
  <si>
    <t>METOHEXAL</t>
  </si>
  <si>
    <t>Hexal A/S</t>
  </si>
  <si>
    <t>METOPROLOL RATIOPHARM</t>
  </si>
  <si>
    <t>METOPROLOL ORION</t>
  </si>
  <si>
    <t>SELOKEN</t>
  </si>
  <si>
    <t>50 mg</t>
  </si>
  <si>
    <t>METOPROLIN</t>
  </si>
  <si>
    <t>EMCONCOR CHF</t>
  </si>
  <si>
    <t>2.5 mg</t>
  </si>
  <si>
    <t>Bisoprololi</t>
  </si>
  <si>
    <t>C07AB07</t>
  </si>
  <si>
    <t>MERCK OY</t>
  </si>
  <si>
    <t>BISOPROLOL KRKA</t>
  </si>
  <si>
    <t>BISOPROLOL RATIOPHARM</t>
  </si>
  <si>
    <t>BISOPROLOL ORION</t>
  </si>
  <si>
    <t>BISOPROACT</t>
  </si>
  <si>
    <t>SELECTOL</t>
  </si>
  <si>
    <t>200 mg</t>
  </si>
  <si>
    <t>Seliprololi</t>
  </si>
  <si>
    <t>C07AB08</t>
  </si>
  <si>
    <t>Takeda Oy</t>
  </si>
  <si>
    <t>CELIPROLOL VITABALANS</t>
  </si>
  <si>
    <t>Vitabalans Oy</t>
  </si>
  <si>
    <t>400 mg</t>
  </si>
  <si>
    <t>HYPOLOC</t>
  </si>
  <si>
    <t>5 mg</t>
  </si>
  <si>
    <t>Nebivololi</t>
  </si>
  <si>
    <t>C07AB12</t>
  </si>
  <si>
    <t>Menarini International Operations Luxembourg S.A.</t>
  </si>
  <si>
    <t>NEBIVOLOL ORION</t>
  </si>
  <si>
    <t>PLENDIL</t>
  </si>
  <si>
    <t>Felodipiini</t>
  </si>
  <si>
    <t>C08CA02</t>
  </si>
  <si>
    <t>FELODIPIN RATIOPHARM</t>
  </si>
  <si>
    <t>100 x 1</t>
  </si>
  <si>
    <t>FELODIPIN ACTAVIS</t>
  </si>
  <si>
    <t>FELODIPIN HEXAL</t>
  </si>
  <si>
    <t>ADALAT OROS</t>
  </si>
  <si>
    <t>Nifedipiini</t>
  </si>
  <si>
    <t>C08CA05</t>
  </si>
  <si>
    <t>Bayer Pharma AG</t>
  </si>
  <si>
    <t>NIFEDIPIN ALTERNOVA</t>
  </si>
  <si>
    <t>Alternova A/S</t>
  </si>
  <si>
    <t>60 mg</t>
  </si>
  <si>
    <t>ZANIDIP</t>
  </si>
  <si>
    <t>Lerkanidipiini</t>
  </si>
  <si>
    <t>C08CA13</t>
  </si>
  <si>
    <t>ORIDIP</t>
  </si>
  <si>
    <t>LERCANIDIPIN HYDROCHLORID ACTAVIS</t>
  </si>
  <si>
    <t>COVERSYL NOVUM</t>
  </si>
  <si>
    <t>Perindopriili</t>
  </si>
  <si>
    <t>C09AA04</t>
  </si>
  <si>
    <t>PERINDOPRIL RATIOPHARM</t>
  </si>
  <si>
    <t>PERINDOPRIL ACTAVIS</t>
  </si>
  <si>
    <t>RENITEC COMP</t>
  </si>
  <si>
    <t>20 mg / 12.5 mg</t>
  </si>
  <si>
    <t>Enalapriili ja diureetit</t>
  </si>
  <si>
    <t>C09BA02</t>
  </si>
  <si>
    <t>Merck Sharp &amp; Dohme B.V.</t>
  </si>
  <si>
    <t>ENALAPRIL COMP RATIOPHARM</t>
  </si>
  <si>
    <t>ratiopharm Oy</t>
  </si>
  <si>
    <t>ENALAPRIL COMP ORION</t>
  </si>
  <si>
    <t>Orion Corporation</t>
  </si>
  <si>
    <t>LINATIL COMP</t>
  </si>
  <si>
    <t>COVERSYL COMP NOVUM</t>
  </si>
  <si>
    <t>5 mg / 1.25 mg</t>
  </si>
  <si>
    <t>Perindopriili ja diureetit</t>
  </si>
  <si>
    <t>C09BA04</t>
  </si>
  <si>
    <t>COPRENESSA</t>
  </si>
  <si>
    <t>4 mg / 1.25 mg</t>
  </si>
  <si>
    <t>PERINDOPRIL/INDAPAMID SANDOZ</t>
  </si>
  <si>
    <t>10 mg / 2.5 mg</t>
  </si>
  <si>
    <t>8 mg / 2.5 mg</t>
  </si>
  <si>
    <t>ZANIPRESS</t>
  </si>
  <si>
    <t>10 mg / 10 mg</t>
  </si>
  <si>
    <t>Enalapriili ja lerkanidipiini</t>
  </si>
  <si>
    <t>C09BB02</t>
  </si>
  <si>
    <t>Recordati Ireland Ltd.</t>
  </si>
  <si>
    <t>ENALAPRIL/LERCANIDIPINE KRKA</t>
  </si>
  <si>
    <t>20 mg / 10 mg</t>
  </si>
  <si>
    <t>COZAAR</t>
  </si>
  <si>
    <t>100 mg</t>
  </si>
  <si>
    <t>Losartaani</t>
  </si>
  <si>
    <t>C09CA01</t>
  </si>
  <si>
    <t>LOSATRIX</t>
  </si>
  <si>
    <t>LOSARTAN ORION</t>
  </si>
  <si>
    <t>LOSARTAN KRKA</t>
  </si>
  <si>
    <t>LOSARSTAD</t>
  </si>
  <si>
    <t>12.5 mg</t>
  </si>
  <si>
    <t>DIOVAN</t>
  </si>
  <si>
    <t>80 mg</t>
  </si>
  <si>
    <t>Valsartaani</t>
  </si>
  <si>
    <t>C09CA03</t>
  </si>
  <si>
    <t>VALSARTAN KRKA</t>
  </si>
  <si>
    <t>VALSARTAN ACTAVIS</t>
  </si>
  <si>
    <t>VALSARTAN SANDOZ</t>
  </si>
  <si>
    <t>VALSARTAN RATIOPHARM</t>
  </si>
  <si>
    <t>VALSARSTAD</t>
  </si>
  <si>
    <t>160 mg</t>
  </si>
  <si>
    <t>320 mg</t>
  </si>
  <si>
    <t>ATACAND</t>
  </si>
  <si>
    <t>Kandesartaani</t>
  </si>
  <si>
    <t>C09CA06</t>
  </si>
  <si>
    <t>CANDEMOX</t>
  </si>
  <si>
    <t>CANDESARTAN ACTAVIS</t>
  </si>
  <si>
    <t>CANDEXETIL</t>
  </si>
  <si>
    <t>CANDESARTAN ORION</t>
  </si>
  <si>
    <t>KANDROZID</t>
  </si>
  <si>
    <t>CANDESARTAN KRKA</t>
  </si>
  <si>
    <t>CANDESTAD</t>
  </si>
  <si>
    <t>16 mg</t>
  </si>
  <si>
    <t>MICARDIS</t>
  </si>
  <si>
    <t>Telmisartaani</t>
  </si>
  <si>
    <t>C09CA07</t>
  </si>
  <si>
    <t>TELMISARTAN RATIOPHARM</t>
  </si>
  <si>
    <t>TELMISARTAN SANDOZ</t>
  </si>
  <si>
    <t>TELMISARTAN STADA</t>
  </si>
  <si>
    <t>TELMISARTAN ACTAVIS</t>
  </si>
  <si>
    <t>KINZALMONO</t>
  </si>
  <si>
    <t>TOLURA</t>
  </si>
  <si>
    <t>COZAAR COMP</t>
  </si>
  <si>
    <t>50 mg / 12.5 mg</t>
  </si>
  <si>
    <t>Losartaani ja diureetit</t>
  </si>
  <si>
    <t>C09DA01</t>
  </si>
  <si>
    <t>LOSATRIX COMP</t>
  </si>
  <si>
    <t>TEVA Sweden AB</t>
  </si>
  <si>
    <t>LOSARTAN/HYDROCHLOROTHIAZIDE ORION</t>
  </si>
  <si>
    <t>LOSARTAN/HYDROCHLOROTHIAZIDE KRKA</t>
  </si>
  <si>
    <t>LOSARSTAD COMP</t>
  </si>
  <si>
    <t>LOSARTAN/HYDROCHLOROTHIAZIDE BLUEFISH</t>
  </si>
  <si>
    <t>COZAAR COMP FORTE</t>
  </si>
  <si>
    <t>100 mg / 25 mg</t>
  </si>
  <si>
    <t>100 mg / 12.5 mg</t>
  </si>
  <si>
    <t>LOSARTAN/HYDROCHLOROTHIAZIDE SANDOZ</t>
  </si>
  <si>
    <t>DIOVAN COMP</t>
  </si>
  <si>
    <t>160 mg / 12.5 mg</t>
  </si>
  <si>
    <t>Valsartaani ja diureetit</t>
  </si>
  <si>
    <t>C09DA03</t>
  </si>
  <si>
    <t>VALSARTAN/HYDROKLORTIAZID ACTAVIS</t>
  </si>
  <si>
    <t>VALSARTAN/HYDROCHLOROTHIAZIDE SANDOZ</t>
  </si>
  <si>
    <t>VALSARTAN/HYDROCHLOROTHIAZIDE RATIOPHARM</t>
  </si>
  <si>
    <t>VALSARTAN/HYDROCHLOROTHIAZIDE KRKA</t>
  </si>
  <si>
    <t>VALSARSTAD COMP</t>
  </si>
  <si>
    <t>80 mg / 12.5 mg</t>
  </si>
  <si>
    <t>160 mg / 25 mg</t>
  </si>
  <si>
    <t>ATACAND PLUS</t>
  </si>
  <si>
    <t>16 mg / 12.5 mg</t>
  </si>
  <si>
    <t>Kandesartaani ja diureetit</t>
  </si>
  <si>
    <t>C09DA06</t>
  </si>
  <si>
    <t>CANDESARTAN/HYDROCHLORTHIAZID ACTAVIS</t>
  </si>
  <si>
    <t>CANDEMOX COMP</t>
  </si>
  <si>
    <t>CANDESTAD COMP</t>
  </si>
  <si>
    <t>CANDESARTAN/HYDROCHLOROTHIAZIDE ORION</t>
  </si>
  <si>
    <t>CANDEXETIL COMP</t>
  </si>
  <si>
    <t>CANDESARTAN/HYDROCHLOROTHIAZIDE KRKA</t>
  </si>
  <si>
    <t>MICARDISPLUS</t>
  </si>
  <si>
    <t>Telmisartaani ja diureetit</t>
  </si>
  <si>
    <t>C09DA07</t>
  </si>
  <si>
    <t>KINZALKOMB</t>
  </si>
  <si>
    <t>TOLUCOMBI</t>
  </si>
  <si>
    <t>TELMISARTAN/HYDROCHLOROTHIAZIDE RATIOPHARM</t>
  </si>
  <si>
    <t>LESAMOR</t>
  </si>
  <si>
    <t>40 mg / 12.5 mg</t>
  </si>
  <si>
    <t>80 mg / 25 mg</t>
  </si>
  <si>
    <t>LESCOL</t>
  </si>
  <si>
    <t>kapseli, kova</t>
  </si>
  <si>
    <t>Fluvastatiini</t>
  </si>
  <si>
    <t>C10AA04</t>
  </si>
  <si>
    <t>FLUVASTATIN ACTAVIS</t>
  </si>
  <si>
    <t>LESCOL DEPOT</t>
  </si>
  <si>
    <t>CRESTOR</t>
  </si>
  <si>
    <t>Rosuvastatiini</t>
  </si>
  <si>
    <t>C10AA07</t>
  </si>
  <si>
    <t>ROSUVASTATIN TEVA</t>
  </si>
  <si>
    <t>ROSUVASTATIN SANDOZ</t>
  </si>
  <si>
    <t>ROSUVASTATIN RATIOPHARM</t>
  </si>
  <si>
    <t>ROSUVASTATIN KRKA</t>
  </si>
  <si>
    <t>ROSUVASTATIN ORION</t>
  </si>
  <si>
    <t>Aurobindo Pharma (Malta) Ltd</t>
  </si>
  <si>
    <t>ROSUVASTATIN ACTAVIS</t>
  </si>
  <si>
    <t>ROSUVASTATIN MYLAN</t>
  </si>
  <si>
    <t>LOCERYL</t>
  </si>
  <si>
    <t>lääkekynsilakka</t>
  </si>
  <si>
    <t>5 ml</t>
  </si>
  <si>
    <t>Amorolfiini</t>
  </si>
  <si>
    <t>D01AE16</t>
  </si>
  <si>
    <t>Galderma Nordic AB</t>
  </si>
  <si>
    <t>AMOROLFIN RATIOPHARM</t>
  </si>
  <si>
    <t>ZOVIRAX</t>
  </si>
  <si>
    <t>emulsiovoide</t>
  </si>
  <si>
    <t>10 g</t>
  </si>
  <si>
    <t>Asikloviiri</t>
  </si>
  <si>
    <t>D06BB03</t>
  </si>
  <si>
    <t>GlaxoSmithKline Oy</t>
  </si>
  <si>
    <t>ACYCLOSTAD</t>
  </si>
  <si>
    <t>50 mg/g</t>
  </si>
  <si>
    <t>ELOCON</t>
  </si>
  <si>
    <t>0.1 %</t>
  </si>
  <si>
    <t>voide</t>
  </si>
  <si>
    <t>50 g</t>
  </si>
  <si>
    <t>Mometasoni</t>
  </si>
  <si>
    <t>D07AC13</t>
  </si>
  <si>
    <t>DEMOSON</t>
  </si>
  <si>
    <t>1 mg/g</t>
  </si>
  <si>
    <t>100 g</t>
  </si>
  <si>
    <t>liuos iholle</t>
  </si>
  <si>
    <t>100 ml</t>
  </si>
  <si>
    <t>OVIXAN</t>
  </si>
  <si>
    <t>Galenica AB</t>
  </si>
  <si>
    <t>LIVIAL</t>
  </si>
  <si>
    <t>3 x 28</t>
  </si>
  <si>
    <t>Tiboloni</t>
  </si>
  <si>
    <t>G03CX01</t>
  </si>
  <si>
    <t>N.V. Organon</t>
  </si>
  <si>
    <t>TIBOLON ORIFARM</t>
  </si>
  <si>
    <t>TIBOCINA</t>
  </si>
  <si>
    <t>ACTIVELLE</t>
  </si>
  <si>
    <t>Noretisteroni ja estrogeeni</t>
  </si>
  <si>
    <t>G03FA01</t>
  </si>
  <si>
    <t>CLIOVELLE</t>
  </si>
  <si>
    <t>1 mg / 0.5 mg</t>
  </si>
  <si>
    <t>Dr. Kade Pharmazeutische Fabrik GmbH</t>
  </si>
  <si>
    <t>DETRUSITOL SR</t>
  </si>
  <si>
    <t>depotkapseli, kova</t>
  </si>
  <si>
    <t>Tolterodiini</t>
  </si>
  <si>
    <t>G04BD07</t>
  </si>
  <si>
    <t>Pfizer Oy</t>
  </si>
  <si>
    <t>TOLTERODIN ACTAVIS</t>
  </si>
  <si>
    <t>TOLTERODINE SANDOZ</t>
  </si>
  <si>
    <t>TOLTERODIN MYLAN</t>
  </si>
  <si>
    <t>TOLTERODIN PFIZER</t>
  </si>
  <si>
    <t>TOLTERODIN RATIOPHARM</t>
  </si>
  <si>
    <t>SPASMO-LYT PLUS</t>
  </si>
  <si>
    <t>tabletti, päällystetty</t>
  </si>
  <si>
    <t>Trospium</t>
  </si>
  <si>
    <t>G04BD09</t>
  </si>
  <si>
    <t>Madaus GmbH</t>
  </si>
  <si>
    <t>TROSPIUM VERMAN</t>
  </si>
  <si>
    <t>Verman Oy Ab</t>
  </si>
  <si>
    <t>VIAGRA</t>
  </si>
  <si>
    <t>Sildenafiili</t>
  </si>
  <si>
    <t>G04BE03</t>
  </si>
  <si>
    <t>Pfizer Limited</t>
  </si>
  <si>
    <t>SILDENAFIL NAVAMEDIC</t>
  </si>
  <si>
    <t>SILDENAFIL ACTAVIS</t>
  </si>
  <si>
    <t>VIZARSIN</t>
  </si>
  <si>
    <t>SILDENAFIL RATIOPHARM</t>
  </si>
  <si>
    <t>SILDENAFIL SANDOZ</t>
  </si>
  <si>
    <t>SILDENAFIL ORIFARM</t>
  </si>
  <si>
    <t>SILDENAFIL ORION</t>
  </si>
  <si>
    <t>purutabletti</t>
  </si>
  <si>
    <t>SILDENAFIL ACCORD</t>
  </si>
  <si>
    <t>SILDENAFIL PFIZER</t>
  </si>
  <si>
    <t>12 x 1</t>
  </si>
  <si>
    <t>SILDENAFIL STADA</t>
  </si>
  <si>
    <t>OMNIC OCAS</t>
  </si>
  <si>
    <t>Tamsulosiini</t>
  </si>
  <si>
    <t>G04CA02</t>
  </si>
  <si>
    <t>Astellas Pharma a/s</t>
  </si>
  <si>
    <t>PROMICTAN</t>
  </si>
  <si>
    <t>Avansor Pharma Oy</t>
  </si>
  <si>
    <t>PROSCAR</t>
  </si>
  <si>
    <t>Finasteridi</t>
  </si>
  <si>
    <t>G04CB01</t>
  </si>
  <si>
    <t>GEFINA</t>
  </si>
  <si>
    <t>FINASTERID ORION</t>
  </si>
  <si>
    <t>FINASTERID RATIOPHARM</t>
  </si>
  <si>
    <t>PREDNISOLON</t>
  </si>
  <si>
    <t>Prednisoloni</t>
  </si>
  <si>
    <t>H02AB06</t>
  </si>
  <si>
    <t>PREDNISOLON ALTERNOVA</t>
  </si>
  <si>
    <t>TETRALYSAL</t>
  </si>
  <si>
    <t>Lymesykliini</t>
  </si>
  <si>
    <t>J01AA04</t>
  </si>
  <si>
    <t>LYMECYCLINE ACTAVIS</t>
  </si>
  <si>
    <t>V-PEN MEGA</t>
  </si>
  <si>
    <t>1 milj.IU</t>
  </si>
  <si>
    <t>Fenoksimetyylipenisilliini</t>
  </si>
  <si>
    <t>J01CE02</t>
  </si>
  <si>
    <t>V-PENISILLIINI RATIOPHARM 1000</t>
  </si>
  <si>
    <t>V-PEN 1500</t>
  </si>
  <si>
    <t>1.5 milj.IU</t>
  </si>
  <si>
    <t>V-PENISILLIINI RATIOPHARM 1500</t>
  </si>
  <si>
    <t>MILCOPEN 1500</t>
  </si>
  <si>
    <t>TRIMOPAN</t>
  </si>
  <si>
    <t>Trimetopriimi</t>
  </si>
  <si>
    <t>J01EA01</t>
  </si>
  <si>
    <t>TRIMETIN</t>
  </si>
  <si>
    <t>SURLID</t>
  </si>
  <si>
    <t>150 mg</t>
  </si>
  <si>
    <t>Roksitromysiini</t>
  </si>
  <si>
    <t>J01FA06</t>
  </si>
  <si>
    <t>Sanofi Oy</t>
  </si>
  <si>
    <t>ROXITHROMYCIN SANDOZ</t>
  </si>
  <si>
    <t>Sandoz GmbH</t>
  </si>
  <si>
    <t>ROXITHROMYCIN ORIFARM</t>
  </si>
  <si>
    <t>ZITHROMAX</t>
  </si>
  <si>
    <t>40 mg/ml</t>
  </si>
  <si>
    <t>jauhe oraalisuspensiota varten</t>
  </si>
  <si>
    <t>15 ml</t>
  </si>
  <si>
    <t>Atsitromysiini</t>
  </si>
  <si>
    <t>J01FA10</t>
  </si>
  <si>
    <t>AZITHROMYCIN MYLAN</t>
  </si>
  <si>
    <t>AZITHROMYCIN SANDOZ</t>
  </si>
  <si>
    <t>22.5 ml</t>
  </si>
  <si>
    <t>TAVANIC</t>
  </si>
  <si>
    <t>500 mg</t>
  </si>
  <si>
    <t>Levofloksasiini</t>
  </si>
  <si>
    <t>J01MA12</t>
  </si>
  <si>
    <t>LEVOFLOXACIN KRKA</t>
  </si>
  <si>
    <t>LEVOFLOXACIN ORION</t>
  </si>
  <si>
    <t>LEVOFLOXACIN SANDOZ</t>
  </si>
  <si>
    <t>AVELOX</t>
  </si>
  <si>
    <t>Moksifloksasiini</t>
  </si>
  <si>
    <t>J01MA14</t>
  </si>
  <si>
    <t>MOXIFLOXACIN STADA</t>
  </si>
  <si>
    <t>MOXIFLOXACIN KRKA</t>
  </si>
  <si>
    <t>TEMODAL</t>
  </si>
  <si>
    <t>Temotsolomidi</t>
  </si>
  <si>
    <t>L01AX03</t>
  </si>
  <si>
    <t>Merck Sharp &amp; Dohme Limited</t>
  </si>
  <si>
    <t>TEMOMEDAC</t>
  </si>
  <si>
    <t>medac Gesellschaft für klinische Spezialpräparate mbH</t>
  </si>
  <si>
    <t>TEMOZOLOMIDE ACCORD</t>
  </si>
  <si>
    <t>TEMOZOLOMID RATIOPHARM</t>
  </si>
  <si>
    <t>XELODA</t>
  </si>
  <si>
    <t>Kapesitabiini</t>
  </si>
  <si>
    <t>L01BC06</t>
  </si>
  <si>
    <t>Roche Registration Limited</t>
  </si>
  <si>
    <t>CAPECITABINE TEVA</t>
  </si>
  <si>
    <t>CAPECITABINE MEDAC</t>
  </si>
  <si>
    <t>CAPECITABINE ORION</t>
  </si>
  <si>
    <t>CAPECITABINE ACCORD</t>
  </si>
  <si>
    <t>CAPECITABIN ACTAVIS</t>
  </si>
  <si>
    <t>ARIMIDEX</t>
  </si>
  <si>
    <t>Anastrotsoli</t>
  </si>
  <si>
    <t>L02BG03</t>
  </si>
  <si>
    <t>ANASTROZOLE TEVA</t>
  </si>
  <si>
    <t>ANASTROZOL SANDOZ</t>
  </si>
  <si>
    <t>ANASTROZOL STADA</t>
  </si>
  <si>
    <t>ANAZOL</t>
  </si>
  <si>
    <t>AROMASIN</t>
  </si>
  <si>
    <t>25 mg</t>
  </si>
  <si>
    <t>Eksemestaani</t>
  </si>
  <si>
    <t>L02BG06</t>
  </si>
  <si>
    <t>XEMESTAN</t>
  </si>
  <si>
    <t>EXEMESTAN PFIZER</t>
  </si>
  <si>
    <t>EXEMESTANE ACCORD</t>
  </si>
  <si>
    <t>EXEMESTAN RATIOPHARM</t>
  </si>
  <si>
    <t>CELLCEPT</t>
  </si>
  <si>
    <t>250 mg</t>
  </si>
  <si>
    <t>Mykofenolihappo</t>
  </si>
  <si>
    <t>L04AA06</t>
  </si>
  <si>
    <t>MYFENAX</t>
  </si>
  <si>
    <t>MYCOPHENOLATE MOFETIL ACCORD</t>
  </si>
  <si>
    <t>MYKOFENOLATMOFETIL ACTAVIS</t>
  </si>
  <si>
    <t>MYCOPHENOLATE MOFETIL SANDOZ</t>
  </si>
  <si>
    <t>ARAVA</t>
  </si>
  <si>
    <t>Leflunomidi</t>
  </si>
  <si>
    <t>L04AA13</t>
  </si>
  <si>
    <t>Sanofi-Aventis Deutschland GmbH</t>
  </si>
  <si>
    <t>LEFLUNOMIDE MEDAC</t>
  </si>
  <si>
    <t>LEFLUNOMIDE STADA</t>
  </si>
  <si>
    <t>VOLTAREN</t>
  </si>
  <si>
    <t>Diklofenaakki</t>
  </si>
  <si>
    <t>M01AB05</t>
  </si>
  <si>
    <t>DICLOMEX</t>
  </si>
  <si>
    <t>CELEBRA</t>
  </si>
  <si>
    <t>Selekoksibi</t>
  </si>
  <si>
    <t>M01AH01</t>
  </si>
  <si>
    <t>CELECOXIB SANDOZ</t>
  </si>
  <si>
    <t>CELECOXIB STADA</t>
  </si>
  <si>
    <t>CELECOXIB KRKA</t>
  </si>
  <si>
    <t>CELECOXIB PFIZER</t>
  </si>
  <si>
    <t>SIRDALUD</t>
  </si>
  <si>
    <t>Titsanidiini</t>
  </si>
  <si>
    <t>M03BX02</t>
  </si>
  <si>
    <t>TIZANIDIN ACTAVIS</t>
  </si>
  <si>
    <t>TIZANIDIN ORION</t>
  </si>
  <si>
    <t>TIZANIDIN TEVA</t>
  </si>
  <si>
    <t>BONVIVA</t>
  </si>
  <si>
    <t>Ibandronaatti</t>
  </si>
  <si>
    <t>M05BA06</t>
  </si>
  <si>
    <t>IBANDRONAT STADA</t>
  </si>
  <si>
    <t>IBAMYL</t>
  </si>
  <si>
    <t>IBANDRONATE RATIOPHARM</t>
  </si>
  <si>
    <t>IBANDRONAT ACTAVIS</t>
  </si>
  <si>
    <t>CLASTEC</t>
  </si>
  <si>
    <t>BONDRONAT</t>
  </si>
  <si>
    <t>OPTINATE SEPTIMUM</t>
  </si>
  <si>
    <t>35 mg</t>
  </si>
  <si>
    <t>Risedronaatti</t>
  </si>
  <si>
    <t>M05BA07</t>
  </si>
  <si>
    <t>RISEDRONAT TEVA</t>
  </si>
  <si>
    <t>RISEDRONAT SANDOZ</t>
  </si>
  <si>
    <t>TRAMAL RETARD</t>
  </si>
  <si>
    <t>Tramadoli</t>
  </si>
  <si>
    <t>N02AX02</t>
  </si>
  <si>
    <t>Grünenthal GmbH</t>
  </si>
  <si>
    <t>TRADOLAN RETARD</t>
  </si>
  <si>
    <t>G.L. Pharma GmbH</t>
  </si>
  <si>
    <t>ZOMIG RAPIMELT</t>
  </si>
  <si>
    <t>Tsolmitriptaani</t>
  </si>
  <si>
    <t>N02CC03</t>
  </si>
  <si>
    <t>ZOMIG</t>
  </si>
  <si>
    <t>ZOLMITRIPTAN ACTAVIS</t>
  </si>
  <si>
    <t>ZOLMITRIPTAN SANDOZ</t>
  </si>
  <si>
    <t>ZOLMITRIPTAN RATIOPHARM</t>
  </si>
  <si>
    <t>ZOLMITRIPTAN STADA</t>
  </si>
  <si>
    <t>ZOLMISTAD</t>
  </si>
  <si>
    <t>ALMOGRAN</t>
  </si>
  <si>
    <t>Almotriptaani</t>
  </si>
  <si>
    <t>N02CC05</t>
  </si>
  <si>
    <t>Almirall SA</t>
  </si>
  <si>
    <t>ALMOTRIPTAN SANDOZ</t>
  </si>
  <si>
    <t>SINEMET DEPOT</t>
  </si>
  <si>
    <t>50 mg / 200 mg</t>
  </si>
  <si>
    <t>Levodopa ja dekarboksylaasin estäjä</t>
  </si>
  <si>
    <t>N04BA02</t>
  </si>
  <si>
    <t>LEVOCAR</t>
  </si>
  <si>
    <t>200 mg / 50 mg</t>
  </si>
  <si>
    <t>LEVODOPA/CARBIDOPA ACCORD</t>
  </si>
  <si>
    <t>STALEVO</t>
  </si>
  <si>
    <t>50 mg / 12.5 mg / 200 mg</t>
  </si>
  <si>
    <t>Levodopa, dekarboksylaasin estäjä ja COMT-estäjä</t>
  </si>
  <si>
    <t>N04BA03</t>
  </si>
  <si>
    <t>PENTIRO</t>
  </si>
  <si>
    <t>STADA Arzneimittel AG</t>
  </si>
  <si>
    <t>LEVODOPA/CARBIDOPA/ENTACAPONE ORION</t>
  </si>
  <si>
    <t>100 mg / 25 mg / 200 mg</t>
  </si>
  <si>
    <t>150 mg / 37.5 mg / 200 mg</t>
  </si>
  <si>
    <t>125 mg / 31.25 mg / 200 mg</t>
  </si>
  <si>
    <t>200 mg / 50 mg / 200 mg</t>
  </si>
  <si>
    <t>75 mg / 18.75 mg / 200 mg</t>
  </si>
  <si>
    <t>175 mg / 43.75 mg / 200 mg</t>
  </si>
  <si>
    <t>REQUIP DEPOT</t>
  </si>
  <si>
    <t>Ropiniroli</t>
  </si>
  <si>
    <t>N04BC04</t>
  </si>
  <si>
    <t>ROPINIROL SANDOZ</t>
  </si>
  <si>
    <t>ROPINOSTAD</t>
  </si>
  <si>
    <t>ROPINIROL KRKA</t>
  </si>
  <si>
    <t>ROPINIROL ORION</t>
  </si>
  <si>
    <t>SIFROL</t>
  </si>
  <si>
    <t>0.18 mg</t>
  </si>
  <si>
    <t>Pramipeksoli</t>
  </si>
  <si>
    <t>N04BC05</t>
  </si>
  <si>
    <t>OPRYMEA</t>
  </si>
  <si>
    <t>PRAMIPEXOLE ORION</t>
  </si>
  <si>
    <t>PRAMIPEXOLE ACCORD</t>
  </si>
  <si>
    <t>PRAMIPEXOL STADA</t>
  </si>
  <si>
    <t>0.088 mg</t>
  </si>
  <si>
    <t>0.26 mg</t>
  </si>
  <si>
    <t>Boehringer Ingelheim Pharma GmbH &amp; Co. KG</t>
  </si>
  <si>
    <t>PRAMIPEXOLE SANDOZ</t>
  </si>
  <si>
    <t>0.52 mg</t>
  </si>
  <si>
    <t>1.05 mg</t>
  </si>
  <si>
    <t>2.1 mg</t>
  </si>
  <si>
    <t>3.15 mg</t>
  </si>
  <si>
    <t>1.57 mg</t>
  </si>
  <si>
    <t>2.62 mg</t>
  </si>
  <si>
    <t>ELDEPRYL</t>
  </si>
  <si>
    <t>Selegiliini</t>
  </si>
  <si>
    <t>N04BD01</t>
  </si>
  <si>
    <t>SELEGILIN MYLAN</t>
  </si>
  <si>
    <t>ZELDOX</t>
  </si>
  <si>
    <t>Tsiprasidoni</t>
  </si>
  <si>
    <t>N05AE04</t>
  </si>
  <si>
    <t>ZIPRASIDON PFIZER</t>
  </si>
  <si>
    <t>ZIPRASIDON KRKA</t>
  </si>
  <si>
    <t>LEPONEX</t>
  </si>
  <si>
    <t>Klotsapiini</t>
  </si>
  <si>
    <t>N05AH02</t>
  </si>
  <si>
    <t>FROIDIR</t>
  </si>
  <si>
    <t>CLOZAPINE ACTAVIS</t>
  </si>
  <si>
    <t>Actavis Group ehf.</t>
  </si>
  <si>
    <t>ZYPREXA</t>
  </si>
  <si>
    <t>7.5 mg</t>
  </si>
  <si>
    <t>Olantsapiini</t>
  </si>
  <si>
    <t>N05AH03</t>
  </si>
  <si>
    <t>Eli Lilly Nederland BV</t>
  </si>
  <si>
    <t>OLANZAPIN AVANSOR</t>
  </si>
  <si>
    <t>OLANZAPIN RATIOPHARM</t>
  </si>
  <si>
    <t>ZALASTA</t>
  </si>
  <si>
    <t>OLANZAPIN SANDOZ</t>
  </si>
  <si>
    <t>OLANZAPINE ACCORD</t>
  </si>
  <si>
    <t>ZYPREXA VELOTAB</t>
  </si>
  <si>
    <t>OLANZAPIN BLUEFISH</t>
  </si>
  <si>
    <t>Dema Consult s.r.o.</t>
  </si>
  <si>
    <t>SEROQUEL</t>
  </si>
  <si>
    <t>Ketiapiini</t>
  </si>
  <si>
    <t>N05AH04</t>
  </si>
  <si>
    <t>KETIPINOR</t>
  </si>
  <si>
    <t>QUETIAPIN MYLAN</t>
  </si>
  <si>
    <t>QUETIAPINE TEVA</t>
  </si>
  <si>
    <t>100 (10 x 10)</t>
  </si>
  <si>
    <t>QUETIAPINE ACCORD</t>
  </si>
  <si>
    <t>QUETIAPIN ACTAVIS</t>
  </si>
  <si>
    <t>SEROQUEL PROLONG</t>
  </si>
  <si>
    <t>QUETIAPIN RATIOPHARM</t>
  </si>
  <si>
    <t>TEVA Pharma B.V.</t>
  </si>
  <si>
    <t>QUETIAPIN SANDOZ</t>
  </si>
  <si>
    <t>ABILIFY</t>
  </si>
  <si>
    <t>Aripipratsoli</t>
  </si>
  <si>
    <t>N05AX12</t>
  </si>
  <si>
    <t>Otsuka Pharmaceutical Europe Ltd.</t>
  </si>
  <si>
    <t>ARIPIPRAZOL KRKA</t>
  </si>
  <si>
    <t>ARIPIPRAZOLE RATIOPHARM</t>
  </si>
  <si>
    <t>LEMILVO</t>
  </si>
  <si>
    <t>TEMESTA</t>
  </si>
  <si>
    <t>Loratsepaami</t>
  </si>
  <si>
    <t>N05BA06</t>
  </si>
  <si>
    <t>LORAZEPAM ORIFARM</t>
  </si>
  <si>
    <t>LORAZEPAM ORION</t>
  </si>
  <si>
    <t>XANOR DEPOT</t>
  </si>
  <si>
    <t>Alpratsolaami</t>
  </si>
  <si>
    <t>N05BA12</t>
  </si>
  <si>
    <t>ALPRAZOLAM KRKA</t>
  </si>
  <si>
    <t>CIPRALEX</t>
  </si>
  <si>
    <t>Essitalopraami</t>
  </si>
  <si>
    <t>N06AB10</t>
  </si>
  <si>
    <t>H. Lundbeck A/S</t>
  </si>
  <si>
    <t>ESCITALOPRAM ACTAVIS</t>
  </si>
  <si>
    <t>ESCITALOPRAM RATIOPHARM</t>
  </si>
  <si>
    <t>ESCITALOPRAM KRKA</t>
  </si>
  <si>
    <t>ESCITALOPRAM ORION</t>
  </si>
  <si>
    <t>ESCITALOPRAM LUNDBECK</t>
  </si>
  <si>
    <t>ESCITALOPRAM SANDOZ</t>
  </si>
  <si>
    <t>ESCITALOPRAM NAVAMEDIC</t>
  </si>
  <si>
    <t>ESCITALOPRAM ACCORD</t>
  </si>
  <si>
    <t>ESIPRAL</t>
  </si>
  <si>
    <t>CYMBALTA</t>
  </si>
  <si>
    <t>Duloksetiini</t>
  </si>
  <si>
    <t>N06AX21</t>
  </si>
  <si>
    <t>DULOXETINE KRKA</t>
  </si>
  <si>
    <t>DULOXETINE ORION</t>
  </si>
  <si>
    <t>DULOXETINE MYLAN</t>
  </si>
  <si>
    <t>Generics (UK) Limited</t>
  </si>
  <si>
    <t>DULOXETINE RATIOPHARM</t>
  </si>
  <si>
    <t>YENTREVE</t>
  </si>
  <si>
    <t>LOXENTIA</t>
  </si>
  <si>
    <t>CONCERTA</t>
  </si>
  <si>
    <t>18 mg</t>
  </si>
  <si>
    <t>Metyylifenidaatti</t>
  </si>
  <si>
    <t>N06BA04</t>
  </si>
  <si>
    <t>Janssen-Cilag Oy</t>
  </si>
  <si>
    <t>METHYLPHENIDATE SANDOZ</t>
  </si>
  <si>
    <t>METHYLPHENIDATE MYLAN</t>
  </si>
  <si>
    <t>27 mg</t>
  </si>
  <si>
    <t>36 mg</t>
  </si>
  <si>
    <t>54 mg</t>
  </si>
  <si>
    <t>ARICEPT</t>
  </si>
  <si>
    <t>Donepetsiili</t>
  </si>
  <si>
    <t>N06DA02</t>
  </si>
  <si>
    <t>DONEPEZIL ACTAVIS</t>
  </si>
  <si>
    <t>DONEPEZIL KRKA</t>
  </si>
  <si>
    <t>DONEPEZIL ORIFARM</t>
  </si>
  <si>
    <t>DONEPEZIL ACCORD</t>
  </si>
  <si>
    <t>DONEPEZIL ORION</t>
  </si>
  <si>
    <t>DONEPEZIL RATIOPHARM</t>
  </si>
  <si>
    <t>EXELON</t>
  </si>
  <si>
    <t>Rivastigmiini</t>
  </si>
  <si>
    <t>N06DA03</t>
  </si>
  <si>
    <t>Novartis Europharm Ltd</t>
  </si>
  <si>
    <t>RIVASTIGMIN STADA</t>
  </si>
  <si>
    <t>RIVASTIGMIN ORION</t>
  </si>
  <si>
    <t>NIMVASTID</t>
  </si>
  <si>
    <t>RIVASTIGMINE ACTAVIS</t>
  </si>
  <si>
    <t>RIVASTIGMINE SANDOZ</t>
  </si>
  <si>
    <t>3 mg</t>
  </si>
  <si>
    <t>RIVASTIGMIN ORIFARM</t>
  </si>
  <si>
    <t>4.5 mg</t>
  </si>
  <si>
    <t>6 mg</t>
  </si>
  <si>
    <t>REMINYL</t>
  </si>
  <si>
    <t>Galantamiini</t>
  </si>
  <si>
    <t>N06DA04</t>
  </si>
  <si>
    <t>GALANTAMIN STADA</t>
  </si>
  <si>
    <t>GALANTAMIN MYLAN</t>
  </si>
  <si>
    <t>GALANTAMIN KRKA</t>
  </si>
  <si>
    <t>GALANTAMINE ACTAVIS</t>
  </si>
  <si>
    <t>GALANTAMIN ORION</t>
  </si>
  <si>
    <t>24 mg</t>
  </si>
  <si>
    <t>EBIXA</t>
  </si>
  <si>
    <t>Memantiini</t>
  </si>
  <si>
    <t>N06DX01</t>
  </si>
  <si>
    <t>MEMANTINE MERZ</t>
  </si>
  <si>
    <t>Merz Pharma GmbH &amp; Co. KGaA</t>
  </si>
  <si>
    <t>MARBODIN</t>
  </si>
  <si>
    <t>ADAXOR</t>
  </si>
  <si>
    <t>MEMANTINE RATIOPHARM</t>
  </si>
  <si>
    <t>MEMANTINE ACCORD</t>
  </si>
  <si>
    <t>MEMANTINE LEK</t>
  </si>
  <si>
    <t>Pharmathen S.A.</t>
  </si>
  <si>
    <t>MEMANTIN ORION</t>
  </si>
  <si>
    <t>MENTIXA</t>
  </si>
  <si>
    <t>HCS bvba</t>
  </si>
  <si>
    <t>NEMDATINE</t>
  </si>
  <si>
    <t>5 mg / pumpun painallus</t>
  </si>
  <si>
    <t>oraaliliuos</t>
  </si>
  <si>
    <t>50 ml</t>
  </si>
  <si>
    <t>MEMANTIN STADA</t>
  </si>
  <si>
    <t>10 mg/ml</t>
  </si>
  <si>
    <t>EBIXA ALOITUSPAKKAUS</t>
  </si>
  <si>
    <t>5 mg, 10 mg, 15 mg, 20 mg</t>
  </si>
  <si>
    <t>7 + 7 + 7 + 7</t>
  </si>
  <si>
    <t>MEMANTINE MERZ ALOITUSPAKKAUS</t>
  </si>
  <si>
    <t>5 mg+10 mg+15 mg+20 mg</t>
  </si>
  <si>
    <t>ADAXOR ALOITUSPAKKAUS</t>
  </si>
  <si>
    <t>MEMANTINE RATIOPHARM ALOITUSPAKKAUS</t>
  </si>
  <si>
    <t>DOLMED</t>
  </si>
  <si>
    <t>Metadoni</t>
  </si>
  <si>
    <t>N07BC02</t>
  </si>
  <si>
    <t>METADON ABCUR</t>
  </si>
  <si>
    <t>Abcur AB</t>
  </si>
  <si>
    <t>BETASERC</t>
  </si>
  <si>
    <t>Betahistiini</t>
  </si>
  <si>
    <t>N07CA01</t>
  </si>
  <si>
    <t>BGP Products B.V.</t>
  </si>
  <si>
    <t>BETAHISTIN ORIFARM</t>
  </si>
  <si>
    <t>BETAHISTIN RATIOPHARM</t>
  </si>
  <si>
    <t>BETAHISTIN ORIFARM GENERICS</t>
  </si>
  <si>
    <t>NASONEX</t>
  </si>
  <si>
    <t>50 mikrog/annos</t>
  </si>
  <si>
    <t>nenäsumute, suspensio</t>
  </si>
  <si>
    <t>140 annosta</t>
  </si>
  <si>
    <t>R01AD09</t>
  </si>
  <si>
    <t>MOMETASONE ACTAVIS</t>
  </si>
  <si>
    <t>MOMMOX</t>
  </si>
  <si>
    <t>MOMETASONE ORION</t>
  </si>
  <si>
    <t>MOMETASONE CIPLA</t>
  </si>
  <si>
    <t>CIPLA (EU) Limited</t>
  </si>
  <si>
    <t>3 x 140 annosta</t>
  </si>
  <si>
    <t>PULMICORT</t>
  </si>
  <si>
    <t>0.25 mg/ml</t>
  </si>
  <si>
    <t>sumutinsuspensio</t>
  </si>
  <si>
    <t>20 x 2 ml</t>
  </si>
  <si>
    <t>Budesonidi</t>
  </si>
  <si>
    <t>R03BA02</t>
  </si>
  <si>
    <t>BUDESONIDE TEVA</t>
  </si>
  <si>
    <t>0.5 mg/ml</t>
  </si>
  <si>
    <t>ATROVENT</t>
  </si>
  <si>
    <t>sumutinliuos, kerta-annossäiliö</t>
  </si>
  <si>
    <t>60 x 2 ml</t>
  </si>
  <si>
    <t>Ipratropiumbromidi</t>
  </si>
  <si>
    <t>R03BB01</t>
  </si>
  <si>
    <t>IPRAXA</t>
  </si>
  <si>
    <t>0.50 mg/annos</t>
  </si>
  <si>
    <t>SINGULAIR</t>
  </si>
  <si>
    <t>Montelukasti</t>
  </si>
  <si>
    <t>R03DC03</t>
  </si>
  <si>
    <t>MONTELUKAST KRKA</t>
  </si>
  <si>
    <t>MONTELUKAST SANDOZ</t>
  </si>
  <si>
    <t>MONTELUKAST ACTAVIS</t>
  </si>
  <si>
    <t>ASTECON</t>
  </si>
  <si>
    <t>MONTELUKAST ORION</t>
  </si>
  <si>
    <t>MONTELUKAST ACCORD</t>
  </si>
  <si>
    <t>MONTELUKAST TEVA</t>
  </si>
  <si>
    <t>MONTELUKAST MYLAN</t>
  </si>
  <si>
    <t>rakeet</t>
  </si>
  <si>
    <t>XYZAL</t>
  </si>
  <si>
    <t>Levosetiritsiini</t>
  </si>
  <si>
    <t>R06AE09</t>
  </si>
  <si>
    <t>UCB Pharma Oy Finland</t>
  </si>
  <si>
    <t>NOCEDAN</t>
  </si>
  <si>
    <t>LEVOCETIRIZIN STADA</t>
  </si>
  <si>
    <t>LEVOCETIRIZINE SANDOZ</t>
  </si>
  <si>
    <t>LEVAZYR</t>
  </si>
  <si>
    <t>LEVOCETIRIZIN RATIOPHARM</t>
  </si>
  <si>
    <t>AERIUS</t>
  </si>
  <si>
    <t>120 ml</t>
  </si>
  <si>
    <t>Desloratadiini</t>
  </si>
  <si>
    <t>R06AX27</t>
  </si>
  <si>
    <t>DESLORATADIN STADA</t>
  </si>
  <si>
    <t>DESLORATADINE RATIOPHARM</t>
  </si>
  <si>
    <t>DESLORATADINE ACTAVIS</t>
  </si>
  <si>
    <t>TRUSOPT</t>
  </si>
  <si>
    <t>20 mg/ml</t>
  </si>
  <si>
    <t>silmätipat, liuos</t>
  </si>
  <si>
    <t>Dortsolamidi</t>
  </si>
  <si>
    <t>S01EC03</t>
  </si>
  <si>
    <t>Santen Oy</t>
  </si>
  <si>
    <t>DORZOLAMIDE TEVA</t>
  </si>
  <si>
    <t>DORZOLAMID ACTAVIS</t>
  </si>
  <si>
    <t>COSOPT</t>
  </si>
  <si>
    <t>20 mg/ml + 5 mg/ml</t>
  </si>
  <si>
    <t>Timololi, yhdistelmävalmisteet</t>
  </si>
  <si>
    <t>S01ED51</t>
  </si>
  <si>
    <t>DORZOLAMIDE/TIMOLOL TEVA</t>
  </si>
  <si>
    <t>GLAUKOSTAD</t>
  </si>
  <si>
    <t>DORZOLAMID/TIMOLOL ACTAVIS</t>
  </si>
  <si>
    <t>DORZOLAMID/TIMOLOL SANDOZ</t>
  </si>
  <si>
    <t>XALCOM</t>
  </si>
  <si>
    <t>50 mikrog/ml+ 5 mg/ml</t>
  </si>
  <si>
    <t>2.5 ml</t>
  </si>
  <si>
    <t>LATANOPROST/TIMOLOL PFIZER</t>
  </si>
  <si>
    <t>50 mikrog/ml + 5 mg/ml</t>
  </si>
  <si>
    <t>LATIOTIM</t>
  </si>
  <si>
    <t>3 x 2.5 ml</t>
  </si>
  <si>
    <t>OFTASTAD COMP</t>
  </si>
  <si>
    <t>XALATAN</t>
  </si>
  <si>
    <t>50 mikrog/ml</t>
  </si>
  <si>
    <t>Latanoprosti</t>
  </si>
  <si>
    <t>S01EE01</t>
  </si>
  <si>
    <t>LATANOPROST RATIOPHARM</t>
  </si>
  <si>
    <t>LATANOPROST PFIZER</t>
  </si>
  <si>
    <t>LATANOPROST SANDOZ</t>
  </si>
  <si>
    <t>OFTASTAD</t>
  </si>
  <si>
    <t>LUMIGAN</t>
  </si>
  <si>
    <t>0.3 mg/ml</t>
  </si>
  <si>
    <t>3 ml</t>
  </si>
  <si>
    <t>Bimatoprosti</t>
  </si>
  <si>
    <t>S01EE03</t>
  </si>
  <si>
    <t>Allergan Pharmaceuticals Ireland</t>
  </si>
  <si>
    <t>BIMATOPROST SANDOZ</t>
  </si>
  <si>
    <t>3 x 3 ml</t>
  </si>
  <si>
    <t>LOMUDAL</t>
  </si>
  <si>
    <t>silmätipat, liuos, kerta-annospipetti</t>
  </si>
  <si>
    <t>60 x 0.35 ml</t>
  </si>
  <si>
    <t>Dinatriumkromoglikaatti</t>
  </si>
  <si>
    <t>S01GX01</t>
  </si>
  <si>
    <t>LECROLYN</t>
  </si>
  <si>
    <t>60 x 0.25 ml</t>
  </si>
  <si>
    <t>RENVELA</t>
  </si>
  <si>
    <t>800 mg</t>
  </si>
  <si>
    <t>Sevelameeri</t>
  </si>
  <si>
    <t>V03AE02</t>
  </si>
  <si>
    <t>Genzyme Europe B.V.</t>
  </si>
  <si>
    <t>SEVELAMER AVANSOR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</si>
</sst>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top" wrapText="1"/>
    </xf>
    <xf numFmtId="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5"/>
  <sheetViews>
    <sheetView tabSelected="1" view="pageLayout" zoomScaleNormal="100" workbookViewId="0"/>
  </sheetViews>
  <sheetFormatPr defaultRowHeight="13.2" x14ac:dyDescent="0.25"/>
  <cols>
    <col min="1" max="1" width="9.6640625" style="11" customWidth="1"/>
    <col min="2" max="2" width="6.33203125" style="11" customWidth="1"/>
    <col min="3" max="3" width="22.33203125" style="11" customWidth="1"/>
    <col min="4" max="4" width="10.44140625" style="11" customWidth="1"/>
    <col min="5" max="5" width="18" style="11" customWidth="1"/>
    <col min="6" max="6" width="7" style="11" customWidth="1"/>
    <col min="7" max="7" width="11" style="11" customWidth="1"/>
    <col min="8" max="8" width="7.6640625" style="11" customWidth="1"/>
    <col min="9" max="9" width="19.6640625" style="11" customWidth="1"/>
    <col min="10" max="10" width="17" style="11" customWidth="1"/>
    <col min="11" max="11" width="8.5546875" style="12" customWidth="1"/>
  </cols>
  <sheetData>
    <row r="1" spans="1:11" s="3" customFormat="1" ht="35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 s="4" customFormat="1" ht="20.399999999999999" x14ac:dyDescent="0.2">
      <c r="A2" s="6" t="str">
        <f>"0000070030"</f>
        <v>0000070030</v>
      </c>
      <c r="B2" s="6" t="str">
        <f>"086181"</f>
        <v>086181</v>
      </c>
      <c r="C2" s="6" t="s">
        <v>11</v>
      </c>
      <c r="D2" s="6" t="s">
        <v>12</v>
      </c>
      <c r="E2" s="6" t="s">
        <v>13</v>
      </c>
      <c r="F2" s="6">
        <v>30</v>
      </c>
      <c r="G2" s="6" t="s">
        <v>14</v>
      </c>
      <c r="H2" s="6" t="s">
        <v>15</v>
      </c>
      <c r="I2" s="6" t="s">
        <v>16</v>
      </c>
      <c r="J2" s="6" t="s">
        <v>17</v>
      </c>
      <c r="K2" s="7">
        <v>6.65</v>
      </c>
    </row>
    <row r="3" spans="1:11" s="4" customFormat="1" ht="10.199999999999999" x14ac:dyDescent="0.2">
      <c r="A3" s="6" t="str">
        <f>"0000070030"</f>
        <v>0000070030</v>
      </c>
      <c r="B3" s="6" t="str">
        <f>"445916"</f>
        <v>445916</v>
      </c>
      <c r="C3" s="6" t="s">
        <v>18</v>
      </c>
      <c r="D3" s="6" t="s">
        <v>12</v>
      </c>
      <c r="E3" s="6" t="s">
        <v>13</v>
      </c>
      <c r="F3" s="6">
        <v>30</v>
      </c>
      <c r="G3" s="6" t="s">
        <v>14</v>
      </c>
      <c r="H3" s="6" t="s">
        <v>15</v>
      </c>
      <c r="I3" s="6" t="s">
        <v>19</v>
      </c>
      <c r="J3" s="6" t="s">
        <v>20</v>
      </c>
      <c r="K3" s="7">
        <v>5.52</v>
      </c>
    </row>
    <row r="4" spans="1:11" s="4" customFormat="1" ht="10.199999999999999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s="4" customFormat="1" ht="10.19999999999999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4" customFormat="1" ht="10.199999999999999" x14ac:dyDescent="0.2">
      <c r="A6" s="6" t="str">
        <f>"0008280014"</f>
        <v>0008280014</v>
      </c>
      <c r="B6" s="6" t="str">
        <f>"545467"</f>
        <v>545467</v>
      </c>
      <c r="C6" s="6" t="s">
        <v>21</v>
      </c>
      <c r="D6" s="6" t="s">
        <v>22</v>
      </c>
      <c r="E6" s="6" t="s">
        <v>23</v>
      </c>
      <c r="F6" s="6">
        <v>14</v>
      </c>
      <c r="G6" s="6" t="s">
        <v>24</v>
      </c>
      <c r="H6" s="6" t="s">
        <v>25</v>
      </c>
      <c r="I6" s="6" t="s">
        <v>26</v>
      </c>
      <c r="J6" s="6" t="s">
        <v>17</v>
      </c>
      <c r="K6" s="7">
        <v>7.05</v>
      </c>
    </row>
    <row r="7" spans="1:11" s="4" customFormat="1" ht="10.199999999999999" x14ac:dyDescent="0.2">
      <c r="A7" s="6" t="str">
        <f>"0008280014"</f>
        <v>0008280014</v>
      </c>
      <c r="B7" s="6" t="str">
        <f>"102887"</f>
        <v>102887</v>
      </c>
      <c r="C7" s="6" t="s">
        <v>27</v>
      </c>
      <c r="D7" s="6" t="s">
        <v>22</v>
      </c>
      <c r="E7" s="6" t="s">
        <v>23</v>
      </c>
      <c r="F7" s="6">
        <v>14</v>
      </c>
      <c r="G7" s="6" t="s">
        <v>24</v>
      </c>
      <c r="H7" s="6" t="s">
        <v>25</v>
      </c>
      <c r="I7" s="6" t="s">
        <v>28</v>
      </c>
      <c r="J7" s="6" t="s">
        <v>20</v>
      </c>
      <c r="K7" s="7">
        <v>6.4</v>
      </c>
    </row>
    <row r="8" spans="1:11" s="4" customFormat="1" ht="10.199999999999999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s="4" customFormat="1" ht="10.199999999999999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s="4" customFormat="1" ht="10.199999999999999" x14ac:dyDescent="0.2">
      <c r="A10" s="6" t="str">
        <f>"0008280030"</f>
        <v>0008280030</v>
      </c>
      <c r="B10" s="6" t="str">
        <f>"545657"</f>
        <v>545657</v>
      </c>
      <c r="C10" s="6" t="s">
        <v>21</v>
      </c>
      <c r="D10" s="6" t="s">
        <v>22</v>
      </c>
      <c r="E10" s="6" t="s">
        <v>23</v>
      </c>
      <c r="F10" s="6">
        <v>28</v>
      </c>
      <c r="G10" s="6" t="s">
        <v>24</v>
      </c>
      <c r="H10" s="6" t="s">
        <v>25</v>
      </c>
      <c r="I10" s="6" t="s">
        <v>26</v>
      </c>
      <c r="J10" s="6" t="s">
        <v>17</v>
      </c>
      <c r="K10" s="7">
        <v>14.11</v>
      </c>
    </row>
    <row r="11" spans="1:11" s="4" customFormat="1" ht="10.199999999999999" x14ac:dyDescent="0.2">
      <c r="A11" s="6" t="str">
        <f>"0008280030"</f>
        <v>0008280030</v>
      </c>
      <c r="B11" s="6" t="str">
        <f>"101479"</f>
        <v>101479</v>
      </c>
      <c r="C11" s="6" t="s">
        <v>27</v>
      </c>
      <c r="D11" s="6" t="s">
        <v>22</v>
      </c>
      <c r="E11" s="6" t="s">
        <v>23</v>
      </c>
      <c r="F11" s="6">
        <v>28</v>
      </c>
      <c r="G11" s="6" t="s">
        <v>24</v>
      </c>
      <c r="H11" s="6" t="s">
        <v>25</v>
      </c>
      <c r="I11" s="6" t="s">
        <v>28</v>
      </c>
      <c r="J11" s="6" t="s">
        <v>20</v>
      </c>
      <c r="K11" s="7">
        <v>12.8</v>
      </c>
    </row>
    <row r="12" spans="1:11" s="4" customFormat="1" ht="10.199999999999999" x14ac:dyDescent="0.2">
      <c r="A12" s="6" t="str">
        <f>"0008280030"</f>
        <v>0008280030</v>
      </c>
      <c r="B12" s="6" t="str">
        <f>"448074"</f>
        <v>448074</v>
      </c>
      <c r="C12" s="6" t="s">
        <v>29</v>
      </c>
      <c r="D12" s="6" t="s">
        <v>22</v>
      </c>
      <c r="E12" s="6" t="s">
        <v>23</v>
      </c>
      <c r="F12" s="6">
        <v>28</v>
      </c>
      <c r="G12" s="6" t="s">
        <v>24</v>
      </c>
      <c r="H12" s="6" t="s">
        <v>25</v>
      </c>
      <c r="I12" s="6" t="s">
        <v>30</v>
      </c>
      <c r="J12" s="6" t="s">
        <v>20</v>
      </c>
      <c r="K12" s="7">
        <v>12.8</v>
      </c>
    </row>
    <row r="13" spans="1:11" s="4" customFormat="1" ht="10.199999999999999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s="4" customFormat="1" ht="10.199999999999999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7"/>
    </row>
    <row r="15" spans="1:11" s="4" customFormat="1" ht="10.199999999999999" x14ac:dyDescent="0.2">
      <c r="A15" s="6" t="str">
        <f>"0008280056"</f>
        <v>0008280056</v>
      </c>
      <c r="B15" s="6" t="str">
        <f>"545673"</f>
        <v>545673</v>
      </c>
      <c r="C15" s="6" t="s">
        <v>21</v>
      </c>
      <c r="D15" s="6" t="s">
        <v>22</v>
      </c>
      <c r="E15" s="6" t="s">
        <v>23</v>
      </c>
      <c r="F15" s="6">
        <v>56</v>
      </c>
      <c r="G15" s="6" t="s">
        <v>24</v>
      </c>
      <c r="H15" s="6" t="s">
        <v>25</v>
      </c>
      <c r="I15" s="6" t="s">
        <v>26</v>
      </c>
      <c r="J15" s="6" t="s">
        <v>17</v>
      </c>
      <c r="K15" s="7">
        <v>26.18</v>
      </c>
    </row>
    <row r="16" spans="1:11" s="4" customFormat="1" ht="10.199999999999999" x14ac:dyDescent="0.2">
      <c r="A16" s="6" t="str">
        <f>"0008280056"</f>
        <v>0008280056</v>
      </c>
      <c r="B16" s="6" t="str">
        <f>"083167"</f>
        <v>083167</v>
      </c>
      <c r="C16" s="6" t="s">
        <v>31</v>
      </c>
      <c r="D16" s="6" t="s">
        <v>22</v>
      </c>
      <c r="E16" s="6" t="s">
        <v>23</v>
      </c>
      <c r="F16" s="6">
        <v>56</v>
      </c>
      <c r="G16" s="6" t="s">
        <v>24</v>
      </c>
      <c r="H16" s="6" t="s">
        <v>25</v>
      </c>
      <c r="I16" s="6" t="s">
        <v>32</v>
      </c>
      <c r="J16" s="6" t="s">
        <v>20</v>
      </c>
      <c r="K16" s="7">
        <v>23.56</v>
      </c>
    </row>
    <row r="17" spans="1:11" s="4" customFormat="1" ht="10.199999999999999" x14ac:dyDescent="0.2">
      <c r="A17" s="6" t="str">
        <f>"0008280056"</f>
        <v>0008280056</v>
      </c>
      <c r="B17" s="6" t="str">
        <f>"102896"</f>
        <v>102896</v>
      </c>
      <c r="C17" s="6" t="s">
        <v>27</v>
      </c>
      <c r="D17" s="6" t="s">
        <v>22</v>
      </c>
      <c r="E17" s="6" t="s">
        <v>23</v>
      </c>
      <c r="F17" s="6">
        <v>56</v>
      </c>
      <c r="G17" s="6" t="s">
        <v>24</v>
      </c>
      <c r="H17" s="6" t="s">
        <v>25</v>
      </c>
      <c r="I17" s="6" t="s">
        <v>28</v>
      </c>
      <c r="J17" s="6" t="s">
        <v>20</v>
      </c>
      <c r="K17" s="7">
        <v>23.56</v>
      </c>
    </row>
    <row r="18" spans="1:11" s="4" customFormat="1" ht="10.199999999999999" x14ac:dyDescent="0.2">
      <c r="A18" s="6" t="str">
        <f>"0008280056"</f>
        <v>0008280056</v>
      </c>
      <c r="B18" s="6" t="str">
        <f>"505775"</f>
        <v>505775</v>
      </c>
      <c r="C18" s="6" t="s">
        <v>29</v>
      </c>
      <c r="D18" s="6" t="s">
        <v>22</v>
      </c>
      <c r="E18" s="6" t="s">
        <v>23</v>
      </c>
      <c r="F18" s="6">
        <v>56</v>
      </c>
      <c r="G18" s="6" t="s">
        <v>24</v>
      </c>
      <c r="H18" s="6" t="s">
        <v>25</v>
      </c>
      <c r="I18" s="6" t="s">
        <v>30</v>
      </c>
      <c r="J18" s="6" t="s">
        <v>20</v>
      </c>
      <c r="K18" s="7">
        <v>23.56</v>
      </c>
    </row>
    <row r="19" spans="1:11" s="4" customFormat="1" ht="10.199999999999999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s="4" customFormat="1" ht="10.199999999999999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7"/>
    </row>
    <row r="21" spans="1:11" s="4" customFormat="1" ht="10.199999999999999" x14ac:dyDescent="0.2">
      <c r="A21" s="6" t="str">
        <f>"0008290014"</f>
        <v>0008290014</v>
      </c>
      <c r="B21" s="6" t="str">
        <f>"001411"</f>
        <v>001411</v>
      </c>
      <c r="C21" s="6" t="s">
        <v>21</v>
      </c>
      <c r="D21" s="6" t="s">
        <v>33</v>
      </c>
      <c r="E21" s="6" t="s">
        <v>23</v>
      </c>
      <c r="F21" s="6">
        <v>14</v>
      </c>
      <c r="G21" s="6" t="s">
        <v>24</v>
      </c>
      <c r="H21" s="6" t="s">
        <v>25</v>
      </c>
      <c r="I21" s="6" t="s">
        <v>26</v>
      </c>
      <c r="J21" s="6" t="s">
        <v>17</v>
      </c>
      <c r="K21" s="7">
        <v>12.7</v>
      </c>
    </row>
    <row r="22" spans="1:11" s="4" customFormat="1" ht="10.199999999999999" x14ac:dyDescent="0.2">
      <c r="A22" s="6" t="str">
        <f>"0008290014"</f>
        <v>0008290014</v>
      </c>
      <c r="B22" s="6" t="str">
        <f>"102869"</f>
        <v>102869</v>
      </c>
      <c r="C22" s="6" t="s">
        <v>27</v>
      </c>
      <c r="D22" s="6" t="s">
        <v>33</v>
      </c>
      <c r="E22" s="6" t="s">
        <v>23</v>
      </c>
      <c r="F22" s="6">
        <v>14</v>
      </c>
      <c r="G22" s="6" t="s">
        <v>24</v>
      </c>
      <c r="H22" s="6" t="s">
        <v>25</v>
      </c>
      <c r="I22" s="6" t="s">
        <v>28</v>
      </c>
      <c r="J22" s="6" t="s">
        <v>20</v>
      </c>
      <c r="K22" s="7">
        <v>11.43</v>
      </c>
    </row>
    <row r="23" spans="1:11" s="4" customFormat="1" ht="10.199999999999999" x14ac:dyDescent="0.2">
      <c r="A23" s="6" t="str">
        <f>"0008290014"</f>
        <v>0008290014</v>
      </c>
      <c r="B23" s="6" t="str">
        <f>"131341"</f>
        <v>131341</v>
      </c>
      <c r="C23" s="6" t="s">
        <v>34</v>
      </c>
      <c r="D23" s="6" t="s">
        <v>33</v>
      </c>
      <c r="E23" s="6" t="s">
        <v>23</v>
      </c>
      <c r="F23" s="6">
        <v>14</v>
      </c>
      <c r="G23" s="6" t="s">
        <v>24</v>
      </c>
      <c r="H23" s="6" t="s">
        <v>25</v>
      </c>
      <c r="I23" s="6" t="s">
        <v>35</v>
      </c>
      <c r="J23" s="6" t="s">
        <v>20</v>
      </c>
      <c r="K23" s="7">
        <v>7.73</v>
      </c>
    </row>
    <row r="24" spans="1:11" s="4" customFormat="1" ht="10.199999999999999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s="4" customFormat="1" ht="10.199999999999999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s="4" customFormat="1" ht="10.199999999999999" x14ac:dyDescent="0.2">
      <c r="A26" s="6" t="str">
        <f>"0008290030"</f>
        <v>0008290030</v>
      </c>
      <c r="B26" s="6" t="str">
        <f>"004801"</f>
        <v>004801</v>
      </c>
      <c r="C26" s="6" t="s">
        <v>21</v>
      </c>
      <c r="D26" s="6" t="s">
        <v>33</v>
      </c>
      <c r="E26" s="6" t="s">
        <v>23</v>
      </c>
      <c r="F26" s="6">
        <v>28</v>
      </c>
      <c r="G26" s="6" t="s">
        <v>24</v>
      </c>
      <c r="H26" s="6" t="s">
        <v>25</v>
      </c>
      <c r="I26" s="6" t="s">
        <v>26</v>
      </c>
      <c r="J26" s="6" t="s">
        <v>17</v>
      </c>
      <c r="K26" s="7">
        <v>25.39</v>
      </c>
    </row>
    <row r="27" spans="1:11" s="4" customFormat="1" ht="10.199999999999999" x14ac:dyDescent="0.2">
      <c r="A27" s="6" t="str">
        <f>"0008290030"</f>
        <v>0008290030</v>
      </c>
      <c r="B27" s="6" t="str">
        <f>"033303"</f>
        <v>033303</v>
      </c>
      <c r="C27" s="6" t="s">
        <v>31</v>
      </c>
      <c r="D27" s="6" t="s">
        <v>33</v>
      </c>
      <c r="E27" s="6" t="s">
        <v>23</v>
      </c>
      <c r="F27" s="6">
        <v>28</v>
      </c>
      <c r="G27" s="6" t="s">
        <v>24</v>
      </c>
      <c r="H27" s="6" t="s">
        <v>25</v>
      </c>
      <c r="I27" s="6" t="s">
        <v>32</v>
      </c>
      <c r="J27" s="6" t="s">
        <v>20</v>
      </c>
      <c r="K27" s="7">
        <v>22.85</v>
      </c>
    </row>
    <row r="28" spans="1:11" s="4" customFormat="1" ht="10.199999999999999" x14ac:dyDescent="0.2">
      <c r="A28" s="6" t="str">
        <f>"0008290030"</f>
        <v>0008290030</v>
      </c>
      <c r="B28" s="6" t="str">
        <f>"101452"</f>
        <v>101452</v>
      </c>
      <c r="C28" s="6" t="s">
        <v>27</v>
      </c>
      <c r="D28" s="6" t="s">
        <v>33</v>
      </c>
      <c r="E28" s="6" t="s">
        <v>23</v>
      </c>
      <c r="F28" s="6">
        <v>28</v>
      </c>
      <c r="G28" s="6" t="s">
        <v>24</v>
      </c>
      <c r="H28" s="6" t="s">
        <v>25</v>
      </c>
      <c r="I28" s="6" t="s">
        <v>28</v>
      </c>
      <c r="J28" s="6" t="s">
        <v>20</v>
      </c>
      <c r="K28" s="7">
        <v>22.85</v>
      </c>
    </row>
    <row r="29" spans="1:11" s="4" customFormat="1" ht="10.199999999999999" x14ac:dyDescent="0.2">
      <c r="A29" s="6" t="str">
        <f>"0008290030"</f>
        <v>0008290030</v>
      </c>
      <c r="B29" s="6" t="str">
        <f>"167741"</f>
        <v>167741</v>
      </c>
      <c r="C29" s="6" t="s">
        <v>36</v>
      </c>
      <c r="D29" s="6" t="s">
        <v>33</v>
      </c>
      <c r="E29" s="6" t="s">
        <v>23</v>
      </c>
      <c r="F29" s="6">
        <v>28</v>
      </c>
      <c r="G29" s="6" t="s">
        <v>24</v>
      </c>
      <c r="H29" s="6" t="s">
        <v>25</v>
      </c>
      <c r="I29" s="6" t="s">
        <v>37</v>
      </c>
      <c r="J29" s="6" t="s">
        <v>20</v>
      </c>
      <c r="K29" s="7">
        <v>22.85</v>
      </c>
    </row>
    <row r="30" spans="1:11" s="4" customFormat="1" ht="10.199999999999999" x14ac:dyDescent="0.2">
      <c r="A30" s="6" t="str">
        <f>"0008290030"</f>
        <v>0008290030</v>
      </c>
      <c r="B30" s="6" t="str">
        <f>"560881"</f>
        <v>560881</v>
      </c>
      <c r="C30" s="6" t="s">
        <v>29</v>
      </c>
      <c r="D30" s="6" t="s">
        <v>33</v>
      </c>
      <c r="E30" s="6" t="s">
        <v>23</v>
      </c>
      <c r="F30" s="6">
        <v>28</v>
      </c>
      <c r="G30" s="6" t="s">
        <v>24</v>
      </c>
      <c r="H30" s="6" t="s">
        <v>25</v>
      </c>
      <c r="I30" s="6" t="s">
        <v>30</v>
      </c>
      <c r="J30" s="6" t="s">
        <v>20</v>
      </c>
      <c r="K30" s="7">
        <v>22.85</v>
      </c>
    </row>
    <row r="31" spans="1:11" s="4" customFormat="1" ht="10.199999999999999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s="4" customFormat="1" ht="10.199999999999999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s="4" customFormat="1" ht="10.199999999999999" x14ac:dyDescent="0.2">
      <c r="A33" s="6" t="str">
        <f>"0008290056"</f>
        <v>0008290056</v>
      </c>
      <c r="B33" s="6" t="str">
        <f>"005209"</f>
        <v>005209</v>
      </c>
      <c r="C33" s="6" t="s">
        <v>21</v>
      </c>
      <c r="D33" s="6" t="s">
        <v>33</v>
      </c>
      <c r="E33" s="6" t="s">
        <v>23</v>
      </c>
      <c r="F33" s="6">
        <v>56</v>
      </c>
      <c r="G33" s="6" t="s">
        <v>24</v>
      </c>
      <c r="H33" s="6" t="s">
        <v>25</v>
      </c>
      <c r="I33" s="6" t="s">
        <v>26</v>
      </c>
      <c r="J33" s="6" t="s">
        <v>17</v>
      </c>
      <c r="K33" s="7">
        <v>47.12</v>
      </c>
    </row>
    <row r="34" spans="1:11" s="4" customFormat="1" ht="10.199999999999999" x14ac:dyDescent="0.2">
      <c r="A34" s="6" t="str">
        <f>"0008290056"</f>
        <v>0008290056</v>
      </c>
      <c r="B34" s="6" t="str">
        <f>"102878"</f>
        <v>102878</v>
      </c>
      <c r="C34" s="6" t="s">
        <v>27</v>
      </c>
      <c r="D34" s="6" t="s">
        <v>33</v>
      </c>
      <c r="E34" s="6" t="s">
        <v>23</v>
      </c>
      <c r="F34" s="6">
        <v>56</v>
      </c>
      <c r="G34" s="6" t="s">
        <v>24</v>
      </c>
      <c r="H34" s="6" t="s">
        <v>25</v>
      </c>
      <c r="I34" s="6" t="s">
        <v>28</v>
      </c>
      <c r="J34" s="6" t="s">
        <v>20</v>
      </c>
      <c r="K34" s="7">
        <v>44.5</v>
      </c>
    </row>
    <row r="35" spans="1:11" s="4" customFormat="1" ht="10.199999999999999" x14ac:dyDescent="0.2">
      <c r="A35" s="6" t="str">
        <f>"0008290056"</f>
        <v>0008290056</v>
      </c>
      <c r="B35" s="6" t="str">
        <f>"439896"</f>
        <v>439896</v>
      </c>
      <c r="C35" s="6" t="s">
        <v>29</v>
      </c>
      <c r="D35" s="6" t="s">
        <v>33</v>
      </c>
      <c r="E35" s="6" t="s">
        <v>23</v>
      </c>
      <c r="F35" s="6">
        <v>56</v>
      </c>
      <c r="G35" s="6" t="s">
        <v>24</v>
      </c>
      <c r="H35" s="6" t="s">
        <v>25</v>
      </c>
      <c r="I35" s="6" t="s">
        <v>30</v>
      </c>
      <c r="J35" s="6" t="s">
        <v>20</v>
      </c>
      <c r="K35" s="7">
        <v>44.5</v>
      </c>
    </row>
    <row r="36" spans="1:11" s="4" customFormat="1" ht="10.199999999999999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</row>
    <row r="37" spans="1:11" s="4" customFormat="1" ht="10.199999999999999" x14ac:dyDescent="0.2">
      <c r="A37" s="6" t="str">
        <f>"0013170030"</f>
        <v>0013170030</v>
      </c>
      <c r="B37" s="6" t="str">
        <f>"551846"</f>
        <v>551846</v>
      </c>
      <c r="C37" s="6" t="s">
        <v>38</v>
      </c>
      <c r="D37" s="6" t="s">
        <v>39</v>
      </c>
      <c r="E37" s="6" t="s">
        <v>23</v>
      </c>
      <c r="F37" s="6">
        <v>28</v>
      </c>
      <c r="G37" s="6" t="s">
        <v>40</v>
      </c>
      <c r="H37" s="6" t="s">
        <v>41</v>
      </c>
      <c r="I37" s="6" t="s">
        <v>42</v>
      </c>
      <c r="J37" s="6" t="s">
        <v>17</v>
      </c>
      <c r="K37" s="7">
        <v>8.19</v>
      </c>
    </row>
    <row r="38" spans="1:11" s="4" customFormat="1" ht="10.199999999999999" x14ac:dyDescent="0.2">
      <c r="A38" s="6" t="str">
        <f>"0013170030"</f>
        <v>0013170030</v>
      </c>
      <c r="B38" s="6" t="str">
        <f>"155410"</f>
        <v>155410</v>
      </c>
      <c r="C38" s="6" t="s">
        <v>43</v>
      </c>
      <c r="D38" s="6" t="s">
        <v>39</v>
      </c>
      <c r="E38" s="6" t="s">
        <v>23</v>
      </c>
      <c r="F38" s="6">
        <v>28</v>
      </c>
      <c r="G38" s="6" t="s">
        <v>40</v>
      </c>
      <c r="H38" s="6" t="s">
        <v>41</v>
      </c>
      <c r="I38" s="6" t="s">
        <v>28</v>
      </c>
      <c r="J38" s="6" t="s">
        <v>20</v>
      </c>
      <c r="K38" s="7">
        <v>4.91</v>
      </c>
    </row>
    <row r="39" spans="1:11" s="4" customFormat="1" ht="10.199999999999999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</row>
    <row r="40" spans="1:11" s="4" customFormat="1" ht="10.199999999999999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s="4" customFormat="1" ht="10.199999999999999" x14ac:dyDescent="0.2">
      <c r="A41" s="6" t="str">
        <f>"0013170056"</f>
        <v>0013170056</v>
      </c>
      <c r="B41" s="6" t="str">
        <f>"551853"</f>
        <v>551853</v>
      </c>
      <c r="C41" s="6" t="s">
        <v>38</v>
      </c>
      <c r="D41" s="6" t="s">
        <v>39</v>
      </c>
      <c r="E41" s="6" t="s">
        <v>23</v>
      </c>
      <c r="F41" s="6">
        <v>56</v>
      </c>
      <c r="G41" s="6" t="s">
        <v>40</v>
      </c>
      <c r="H41" s="6" t="s">
        <v>41</v>
      </c>
      <c r="I41" s="6" t="s">
        <v>42</v>
      </c>
      <c r="J41" s="6" t="s">
        <v>17</v>
      </c>
      <c r="K41" s="7">
        <v>16.57</v>
      </c>
    </row>
    <row r="42" spans="1:11" s="4" customFormat="1" ht="10.199999999999999" x14ac:dyDescent="0.2">
      <c r="A42" s="6" t="str">
        <f>"0013170056"</f>
        <v>0013170056</v>
      </c>
      <c r="B42" s="6" t="str">
        <f>"483477"</f>
        <v>483477</v>
      </c>
      <c r="C42" s="6" t="s">
        <v>43</v>
      </c>
      <c r="D42" s="6" t="s">
        <v>39</v>
      </c>
      <c r="E42" s="6" t="s">
        <v>23</v>
      </c>
      <c r="F42" s="6">
        <v>56</v>
      </c>
      <c r="G42" s="6" t="s">
        <v>40</v>
      </c>
      <c r="H42" s="6" t="s">
        <v>41</v>
      </c>
      <c r="I42" s="6" t="s">
        <v>28</v>
      </c>
      <c r="J42" s="6" t="s">
        <v>20</v>
      </c>
      <c r="K42" s="7">
        <v>9.94</v>
      </c>
    </row>
    <row r="43" spans="1:11" s="4" customFormat="1" ht="10.199999999999999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s="4" customFormat="1" ht="10.199999999999999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</row>
    <row r="45" spans="1:11" s="4" customFormat="1" ht="10.199999999999999" x14ac:dyDescent="0.2">
      <c r="A45" s="6" t="str">
        <f>"0013180014"</f>
        <v>0013180014</v>
      </c>
      <c r="B45" s="6" t="str">
        <f>"551879"</f>
        <v>551879</v>
      </c>
      <c r="C45" s="6" t="s">
        <v>38</v>
      </c>
      <c r="D45" s="6" t="s">
        <v>22</v>
      </c>
      <c r="E45" s="6" t="s">
        <v>23</v>
      </c>
      <c r="F45" s="6">
        <v>14</v>
      </c>
      <c r="G45" s="6" t="s">
        <v>40</v>
      </c>
      <c r="H45" s="6" t="s">
        <v>41</v>
      </c>
      <c r="I45" s="6" t="s">
        <v>42</v>
      </c>
      <c r="J45" s="6" t="s">
        <v>17</v>
      </c>
      <c r="K45" s="7">
        <v>6.69</v>
      </c>
    </row>
    <row r="46" spans="1:11" s="4" customFormat="1" ht="10.199999999999999" x14ac:dyDescent="0.2">
      <c r="A46" s="6" t="str">
        <f>"0013180014"</f>
        <v>0013180014</v>
      </c>
      <c r="B46" s="6" t="str">
        <f>"154860"</f>
        <v>154860</v>
      </c>
      <c r="C46" s="6" t="s">
        <v>43</v>
      </c>
      <c r="D46" s="6" t="s">
        <v>22</v>
      </c>
      <c r="E46" s="6" t="s">
        <v>23</v>
      </c>
      <c r="F46" s="6">
        <v>14</v>
      </c>
      <c r="G46" s="6" t="s">
        <v>40</v>
      </c>
      <c r="H46" s="6" t="s">
        <v>41</v>
      </c>
      <c r="I46" s="6" t="s">
        <v>28</v>
      </c>
      <c r="J46" s="6" t="s">
        <v>20</v>
      </c>
      <c r="K46" s="7">
        <v>4.01</v>
      </c>
    </row>
    <row r="47" spans="1:11" s="4" customFormat="1" ht="10.199999999999999" x14ac:dyDescent="0.2">
      <c r="A47" s="6" t="str">
        <f>"0013180014"</f>
        <v>0013180014</v>
      </c>
      <c r="B47" s="6" t="str">
        <f>"373552"</f>
        <v>373552</v>
      </c>
      <c r="C47" s="6" t="s">
        <v>44</v>
      </c>
      <c r="D47" s="6" t="s">
        <v>22</v>
      </c>
      <c r="E47" s="6" t="s">
        <v>23</v>
      </c>
      <c r="F47" s="6">
        <v>14</v>
      </c>
      <c r="G47" s="6" t="s">
        <v>40</v>
      </c>
      <c r="H47" s="6" t="s">
        <v>41</v>
      </c>
      <c r="I47" s="6" t="s">
        <v>45</v>
      </c>
      <c r="J47" s="6" t="s">
        <v>20</v>
      </c>
      <c r="K47" s="7">
        <v>4.01</v>
      </c>
    </row>
    <row r="48" spans="1:11" s="4" customFormat="1" ht="10.19999999999999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</row>
    <row r="49" spans="1:11" s="4" customFormat="1" ht="10.199999999999999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7"/>
    </row>
    <row r="50" spans="1:11" s="4" customFormat="1" ht="10.199999999999999" x14ac:dyDescent="0.2">
      <c r="A50" s="6" t="str">
        <f>"0013180030"</f>
        <v>0013180030</v>
      </c>
      <c r="B50" s="6" t="str">
        <f>"551929"</f>
        <v>551929</v>
      </c>
      <c r="C50" s="6" t="s">
        <v>38</v>
      </c>
      <c r="D50" s="6" t="s">
        <v>22</v>
      </c>
      <c r="E50" s="6" t="s">
        <v>23</v>
      </c>
      <c r="F50" s="6">
        <v>28</v>
      </c>
      <c r="G50" s="6" t="s">
        <v>40</v>
      </c>
      <c r="H50" s="6" t="s">
        <v>41</v>
      </c>
      <c r="I50" s="6" t="s">
        <v>42</v>
      </c>
      <c r="J50" s="6" t="s">
        <v>17</v>
      </c>
      <c r="K50" s="7">
        <v>12.67</v>
      </c>
    </row>
    <row r="51" spans="1:11" s="4" customFormat="1" ht="10.199999999999999" x14ac:dyDescent="0.2">
      <c r="A51" s="6" t="str">
        <f>"0013180030"</f>
        <v>0013180030</v>
      </c>
      <c r="B51" s="6" t="str">
        <f>"054784"</f>
        <v>054784</v>
      </c>
      <c r="C51" s="6" t="s">
        <v>44</v>
      </c>
      <c r="D51" s="6" t="s">
        <v>22</v>
      </c>
      <c r="E51" s="6" t="s">
        <v>23</v>
      </c>
      <c r="F51" s="6">
        <v>28</v>
      </c>
      <c r="G51" s="6" t="s">
        <v>40</v>
      </c>
      <c r="H51" s="6" t="s">
        <v>41</v>
      </c>
      <c r="I51" s="6" t="s">
        <v>45</v>
      </c>
      <c r="J51" s="6" t="s">
        <v>20</v>
      </c>
      <c r="K51" s="7">
        <v>7.6</v>
      </c>
    </row>
    <row r="52" spans="1:11" s="4" customFormat="1" ht="10.199999999999999" x14ac:dyDescent="0.2">
      <c r="A52" s="6" t="str">
        <f>"0013180030"</f>
        <v>0013180030</v>
      </c>
      <c r="B52" s="6" t="str">
        <f>"129024"</f>
        <v>129024</v>
      </c>
      <c r="C52" s="6" t="s">
        <v>43</v>
      </c>
      <c r="D52" s="6" t="s">
        <v>22</v>
      </c>
      <c r="E52" s="6" t="s">
        <v>23</v>
      </c>
      <c r="F52" s="6">
        <v>28</v>
      </c>
      <c r="G52" s="6" t="s">
        <v>40</v>
      </c>
      <c r="H52" s="6" t="s">
        <v>41</v>
      </c>
      <c r="I52" s="6" t="s">
        <v>28</v>
      </c>
      <c r="J52" s="6" t="s">
        <v>20</v>
      </c>
      <c r="K52" s="7">
        <v>7.6</v>
      </c>
    </row>
    <row r="53" spans="1:11" s="4" customFormat="1" ht="10.199999999999999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s="4" customFormat="1" ht="10.199999999999999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1:11" s="4" customFormat="1" ht="10.199999999999999" x14ac:dyDescent="0.2">
      <c r="A55" s="6" t="str">
        <f>"0013180056"</f>
        <v>0013180056</v>
      </c>
      <c r="B55" s="6" t="str">
        <f>"551937"</f>
        <v>551937</v>
      </c>
      <c r="C55" s="6" t="s">
        <v>38</v>
      </c>
      <c r="D55" s="6" t="s">
        <v>22</v>
      </c>
      <c r="E55" s="6" t="s">
        <v>23</v>
      </c>
      <c r="F55" s="6">
        <v>56</v>
      </c>
      <c r="G55" s="6" t="s">
        <v>40</v>
      </c>
      <c r="H55" s="6" t="s">
        <v>41</v>
      </c>
      <c r="I55" s="6" t="s">
        <v>42</v>
      </c>
      <c r="J55" s="6" t="s">
        <v>17</v>
      </c>
      <c r="K55" s="7">
        <v>24.99</v>
      </c>
    </row>
    <row r="56" spans="1:11" s="4" customFormat="1" ht="10.199999999999999" x14ac:dyDescent="0.2">
      <c r="A56" s="6" t="str">
        <f>"0013180056"</f>
        <v>0013180056</v>
      </c>
      <c r="B56" s="6" t="str">
        <f>"170329"</f>
        <v>170329</v>
      </c>
      <c r="C56" s="6" t="s">
        <v>44</v>
      </c>
      <c r="D56" s="6" t="s">
        <v>22</v>
      </c>
      <c r="E56" s="6" t="s">
        <v>23</v>
      </c>
      <c r="F56" s="6">
        <v>56</v>
      </c>
      <c r="G56" s="6" t="s">
        <v>40</v>
      </c>
      <c r="H56" s="6" t="s">
        <v>41</v>
      </c>
      <c r="I56" s="6" t="s">
        <v>45</v>
      </c>
      <c r="J56" s="6" t="s">
        <v>20</v>
      </c>
      <c r="K56" s="7">
        <v>14.99</v>
      </c>
    </row>
    <row r="57" spans="1:11" s="4" customFormat="1" ht="10.199999999999999" x14ac:dyDescent="0.2">
      <c r="A57" s="6" t="str">
        <f>"0013180056"</f>
        <v>0013180056</v>
      </c>
      <c r="B57" s="6" t="str">
        <f>"452594"</f>
        <v>452594</v>
      </c>
      <c r="C57" s="6" t="s">
        <v>43</v>
      </c>
      <c r="D57" s="6" t="s">
        <v>22</v>
      </c>
      <c r="E57" s="6" t="s">
        <v>23</v>
      </c>
      <c r="F57" s="6">
        <v>56</v>
      </c>
      <c r="G57" s="6" t="s">
        <v>40</v>
      </c>
      <c r="H57" s="6" t="s">
        <v>41</v>
      </c>
      <c r="I57" s="6" t="s">
        <v>28</v>
      </c>
      <c r="J57" s="6" t="s">
        <v>20</v>
      </c>
      <c r="K57" s="7">
        <v>14.99</v>
      </c>
    </row>
    <row r="58" spans="1:11" s="4" customFormat="1" ht="10.199999999999999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7"/>
    </row>
    <row r="59" spans="1:11" s="4" customFormat="1" ht="10.199999999999999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7"/>
    </row>
    <row r="60" spans="1:11" s="4" customFormat="1" ht="10.199999999999999" x14ac:dyDescent="0.2">
      <c r="A60" s="6" t="str">
        <f>"0013180100"</f>
        <v>0013180100</v>
      </c>
      <c r="B60" s="6" t="str">
        <f>"524276"</f>
        <v>524276</v>
      </c>
      <c r="C60" s="6" t="s">
        <v>38</v>
      </c>
      <c r="D60" s="6" t="s">
        <v>22</v>
      </c>
      <c r="E60" s="6" t="s">
        <v>23</v>
      </c>
      <c r="F60" s="6">
        <v>98</v>
      </c>
      <c r="G60" s="6" t="s">
        <v>40</v>
      </c>
      <c r="H60" s="6" t="s">
        <v>41</v>
      </c>
      <c r="I60" s="6" t="s">
        <v>42</v>
      </c>
      <c r="J60" s="6" t="s">
        <v>17</v>
      </c>
      <c r="K60" s="7">
        <v>42.42</v>
      </c>
    </row>
    <row r="61" spans="1:11" s="4" customFormat="1" ht="10.199999999999999" x14ac:dyDescent="0.2">
      <c r="A61" s="6" t="str">
        <f>"0013180100"</f>
        <v>0013180100</v>
      </c>
      <c r="B61" s="6" t="str">
        <f>"371600"</f>
        <v>371600</v>
      </c>
      <c r="C61" s="6" t="s">
        <v>44</v>
      </c>
      <c r="D61" s="6" t="s">
        <v>22</v>
      </c>
      <c r="E61" s="6" t="s">
        <v>23</v>
      </c>
      <c r="F61" s="6">
        <v>98</v>
      </c>
      <c r="G61" s="6" t="s">
        <v>40</v>
      </c>
      <c r="H61" s="6" t="s">
        <v>41</v>
      </c>
      <c r="I61" s="6" t="s">
        <v>45</v>
      </c>
      <c r="J61" s="6" t="s">
        <v>20</v>
      </c>
      <c r="K61" s="7">
        <v>25.45</v>
      </c>
    </row>
    <row r="62" spans="1:11" s="4" customFormat="1" ht="10.199999999999999" x14ac:dyDescent="0.2">
      <c r="A62" s="6" t="str">
        <f>"0013180100"</f>
        <v>0013180100</v>
      </c>
      <c r="B62" s="6" t="str">
        <f>"434576"</f>
        <v>434576</v>
      </c>
      <c r="C62" s="6" t="s">
        <v>43</v>
      </c>
      <c r="D62" s="6" t="s">
        <v>22</v>
      </c>
      <c r="E62" s="6" t="s">
        <v>23</v>
      </c>
      <c r="F62" s="6">
        <v>98</v>
      </c>
      <c r="G62" s="6" t="s">
        <v>40</v>
      </c>
      <c r="H62" s="6" t="s">
        <v>41</v>
      </c>
      <c r="I62" s="6" t="s">
        <v>28</v>
      </c>
      <c r="J62" s="6" t="s">
        <v>20</v>
      </c>
      <c r="K62" s="7">
        <v>25.45</v>
      </c>
    </row>
    <row r="63" spans="1:11" s="4" customFormat="1" ht="10.199999999999999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7"/>
    </row>
    <row r="64" spans="1:11" s="4" customFormat="1" ht="10.199999999999999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</row>
    <row r="65" spans="1:11" s="4" customFormat="1" ht="10.199999999999999" x14ac:dyDescent="0.2">
      <c r="A65" s="6" t="str">
        <f t="shared" ref="A65:A71" si="0">"0005580056"</f>
        <v>0005580056</v>
      </c>
      <c r="B65" s="6" t="str">
        <f>"000362"</f>
        <v>000362</v>
      </c>
      <c r="C65" s="6" t="s">
        <v>46</v>
      </c>
      <c r="D65" s="6" t="s">
        <v>22</v>
      </c>
      <c r="E65" s="6" t="s">
        <v>23</v>
      </c>
      <c r="F65" s="6">
        <v>56</v>
      </c>
      <c r="G65" s="6" t="s">
        <v>47</v>
      </c>
      <c r="H65" s="6" t="s">
        <v>48</v>
      </c>
      <c r="I65" s="6" t="s">
        <v>49</v>
      </c>
      <c r="J65" s="6" t="s">
        <v>17</v>
      </c>
      <c r="K65" s="7">
        <v>21.8</v>
      </c>
    </row>
    <row r="66" spans="1:11" s="4" customFormat="1" ht="10.199999999999999" x14ac:dyDescent="0.2">
      <c r="A66" s="6" t="str">
        <f t="shared" si="0"/>
        <v>0005580056</v>
      </c>
      <c r="B66" s="6" t="str">
        <f>"030721"</f>
        <v>030721</v>
      </c>
      <c r="C66" s="6" t="s">
        <v>50</v>
      </c>
      <c r="D66" s="6" t="s">
        <v>22</v>
      </c>
      <c r="E66" s="6" t="s">
        <v>23</v>
      </c>
      <c r="F66" s="6">
        <v>56</v>
      </c>
      <c r="G66" s="6" t="s">
        <v>47</v>
      </c>
      <c r="H66" s="6" t="s">
        <v>48</v>
      </c>
      <c r="I66" s="6" t="s">
        <v>37</v>
      </c>
      <c r="J66" s="6" t="s">
        <v>20</v>
      </c>
      <c r="K66" s="7">
        <v>20.74</v>
      </c>
    </row>
    <row r="67" spans="1:11" s="4" customFormat="1" ht="10.199999999999999" x14ac:dyDescent="0.2">
      <c r="A67" s="6" t="str">
        <f t="shared" si="0"/>
        <v>0005580056</v>
      </c>
      <c r="B67" s="6" t="str">
        <f>"139739"</f>
        <v>139739</v>
      </c>
      <c r="C67" s="6" t="s">
        <v>51</v>
      </c>
      <c r="D67" s="6" t="s">
        <v>22</v>
      </c>
      <c r="E67" s="6" t="s">
        <v>52</v>
      </c>
      <c r="F67" s="6">
        <v>56</v>
      </c>
      <c r="G67" s="6" t="s">
        <v>47</v>
      </c>
      <c r="H67" s="6" t="s">
        <v>48</v>
      </c>
      <c r="I67" s="6" t="s">
        <v>19</v>
      </c>
      <c r="J67" s="6" t="s">
        <v>20</v>
      </c>
      <c r="K67" s="7">
        <v>20.74</v>
      </c>
    </row>
    <row r="68" spans="1:11" s="4" customFormat="1" ht="10.199999999999999" x14ac:dyDescent="0.2">
      <c r="A68" s="6" t="str">
        <f t="shared" si="0"/>
        <v>0005580056</v>
      </c>
      <c r="B68" s="6" t="str">
        <f>"167491"</f>
        <v>167491</v>
      </c>
      <c r="C68" s="6" t="s">
        <v>53</v>
      </c>
      <c r="D68" s="6" t="s">
        <v>22</v>
      </c>
      <c r="E68" s="6" t="s">
        <v>23</v>
      </c>
      <c r="F68" s="6">
        <v>56</v>
      </c>
      <c r="G68" s="6" t="s">
        <v>47</v>
      </c>
      <c r="H68" s="6" t="s">
        <v>48</v>
      </c>
      <c r="I68" s="6" t="s">
        <v>35</v>
      </c>
      <c r="J68" s="6" t="s">
        <v>20</v>
      </c>
      <c r="K68" s="7">
        <v>20.74</v>
      </c>
    </row>
    <row r="69" spans="1:11" s="4" customFormat="1" ht="10.199999999999999" x14ac:dyDescent="0.2">
      <c r="A69" s="6" t="str">
        <f t="shared" si="0"/>
        <v>0005580056</v>
      </c>
      <c r="B69" s="6" t="str">
        <f>"390918"</f>
        <v>390918</v>
      </c>
      <c r="C69" s="6" t="s">
        <v>54</v>
      </c>
      <c r="D69" s="6" t="s">
        <v>22</v>
      </c>
      <c r="E69" s="6" t="s">
        <v>23</v>
      </c>
      <c r="F69" s="6">
        <v>56</v>
      </c>
      <c r="G69" s="6" t="s">
        <v>47</v>
      </c>
      <c r="H69" s="6" t="s">
        <v>48</v>
      </c>
      <c r="I69" s="6" t="s">
        <v>55</v>
      </c>
      <c r="J69" s="6" t="s">
        <v>20</v>
      </c>
      <c r="K69" s="7">
        <v>20.74</v>
      </c>
    </row>
    <row r="70" spans="1:11" s="4" customFormat="1" ht="10.199999999999999" x14ac:dyDescent="0.2">
      <c r="A70" s="6" t="str">
        <f t="shared" si="0"/>
        <v>0005580056</v>
      </c>
      <c r="B70" s="6" t="str">
        <f>"423696"</f>
        <v>423696</v>
      </c>
      <c r="C70" s="6" t="s">
        <v>56</v>
      </c>
      <c r="D70" s="6" t="s">
        <v>22</v>
      </c>
      <c r="E70" s="6" t="s">
        <v>23</v>
      </c>
      <c r="F70" s="6">
        <v>56</v>
      </c>
      <c r="G70" s="6" t="s">
        <v>47</v>
      </c>
      <c r="H70" s="6" t="s">
        <v>48</v>
      </c>
      <c r="I70" s="6" t="s">
        <v>45</v>
      </c>
      <c r="J70" s="6" t="s">
        <v>20</v>
      </c>
      <c r="K70" s="7">
        <v>20.74</v>
      </c>
    </row>
    <row r="71" spans="1:11" s="4" customFormat="1" ht="10.199999999999999" x14ac:dyDescent="0.2">
      <c r="A71" s="6" t="str">
        <f t="shared" si="0"/>
        <v>0005580056</v>
      </c>
      <c r="B71" s="6" t="str">
        <f>"092199"</f>
        <v>092199</v>
      </c>
      <c r="C71" s="6" t="s">
        <v>57</v>
      </c>
      <c r="D71" s="6" t="s">
        <v>22</v>
      </c>
      <c r="E71" s="6" t="s">
        <v>52</v>
      </c>
      <c r="F71" s="6">
        <v>56</v>
      </c>
      <c r="G71" s="6" t="s">
        <v>47</v>
      </c>
      <c r="H71" s="6" t="s">
        <v>48</v>
      </c>
      <c r="I71" s="6" t="s">
        <v>28</v>
      </c>
      <c r="J71" s="6" t="s">
        <v>20</v>
      </c>
      <c r="K71" s="7">
        <v>13.08</v>
      </c>
    </row>
    <row r="72" spans="1:11" s="4" customFormat="1" ht="10.199999999999999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7"/>
    </row>
    <row r="73" spans="1:11" s="4" customFormat="1" ht="10.199999999999999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7"/>
    </row>
    <row r="74" spans="1:11" s="4" customFormat="1" ht="10.199999999999999" x14ac:dyDescent="0.2">
      <c r="A74" s="6" t="str">
        <f t="shared" ref="A74:A82" si="1">"0005580100"</f>
        <v>0005580100</v>
      </c>
      <c r="B74" s="6" t="str">
        <f>"001659"</f>
        <v>001659</v>
      </c>
      <c r="C74" s="6" t="s">
        <v>46</v>
      </c>
      <c r="D74" s="6" t="s">
        <v>22</v>
      </c>
      <c r="E74" s="6" t="s">
        <v>23</v>
      </c>
      <c r="F74" s="6">
        <v>98</v>
      </c>
      <c r="G74" s="6" t="s">
        <v>47</v>
      </c>
      <c r="H74" s="6" t="s">
        <v>48</v>
      </c>
      <c r="I74" s="6" t="s">
        <v>49</v>
      </c>
      <c r="J74" s="6" t="s">
        <v>17</v>
      </c>
      <c r="K74" s="7">
        <v>37.04</v>
      </c>
    </row>
    <row r="75" spans="1:11" s="4" customFormat="1" ht="10.199999999999999" x14ac:dyDescent="0.2">
      <c r="A75" s="6" t="str">
        <f t="shared" si="1"/>
        <v>0005580100</v>
      </c>
      <c r="B75" s="6" t="str">
        <f>"000314"</f>
        <v>000314</v>
      </c>
      <c r="C75" s="6" t="s">
        <v>46</v>
      </c>
      <c r="D75" s="6" t="s">
        <v>22</v>
      </c>
      <c r="E75" s="6" t="s">
        <v>23</v>
      </c>
      <c r="F75" s="6">
        <v>100</v>
      </c>
      <c r="G75" s="6" t="s">
        <v>47</v>
      </c>
      <c r="H75" s="6" t="s">
        <v>48</v>
      </c>
      <c r="I75" s="6" t="s">
        <v>49</v>
      </c>
      <c r="J75" s="6" t="s">
        <v>17</v>
      </c>
      <c r="K75" s="7">
        <v>37.79</v>
      </c>
    </row>
    <row r="76" spans="1:11" s="4" customFormat="1" ht="10.199999999999999" x14ac:dyDescent="0.2">
      <c r="A76" s="6" t="str">
        <f t="shared" si="1"/>
        <v>0005580100</v>
      </c>
      <c r="B76" s="6" t="str">
        <f>"030620"</f>
        <v>030620</v>
      </c>
      <c r="C76" s="6" t="s">
        <v>50</v>
      </c>
      <c r="D76" s="6" t="s">
        <v>22</v>
      </c>
      <c r="E76" s="6" t="s">
        <v>23</v>
      </c>
      <c r="F76" s="6">
        <v>100</v>
      </c>
      <c r="G76" s="6" t="s">
        <v>47</v>
      </c>
      <c r="H76" s="6" t="s">
        <v>48</v>
      </c>
      <c r="I76" s="6" t="s">
        <v>37</v>
      </c>
      <c r="J76" s="6" t="s">
        <v>20</v>
      </c>
      <c r="K76" s="7">
        <v>35.96</v>
      </c>
    </row>
    <row r="77" spans="1:11" s="4" customFormat="1" ht="10.199999999999999" x14ac:dyDescent="0.2">
      <c r="A77" s="6" t="str">
        <f t="shared" si="1"/>
        <v>0005580100</v>
      </c>
      <c r="B77" s="6" t="str">
        <f>"048858"</f>
        <v>048858</v>
      </c>
      <c r="C77" s="6" t="s">
        <v>51</v>
      </c>
      <c r="D77" s="6" t="s">
        <v>22</v>
      </c>
      <c r="E77" s="6" t="s">
        <v>52</v>
      </c>
      <c r="F77" s="6">
        <v>100</v>
      </c>
      <c r="G77" s="6" t="s">
        <v>47</v>
      </c>
      <c r="H77" s="6" t="s">
        <v>48</v>
      </c>
      <c r="I77" s="6" t="s">
        <v>19</v>
      </c>
      <c r="J77" s="6" t="s">
        <v>20</v>
      </c>
      <c r="K77" s="7">
        <v>35.96</v>
      </c>
    </row>
    <row r="78" spans="1:11" s="4" customFormat="1" ht="10.199999999999999" x14ac:dyDescent="0.2">
      <c r="A78" s="6" t="str">
        <f t="shared" si="1"/>
        <v>0005580100</v>
      </c>
      <c r="B78" s="6" t="str">
        <f>"402083"</f>
        <v>402083</v>
      </c>
      <c r="C78" s="6" t="s">
        <v>54</v>
      </c>
      <c r="D78" s="6" t="s">
        <v>22</v>
      </c>
      <c r="E78" s="6" t="s">
        <v>23</v>
      </c>
      <c r="F78" s="6">
        <v>100</v>
      </c>
      <c r="G78" s="6" t="s">
        <v>47</v>
      </c>
      <c r="H78" s="6" t="s">
        <v>48</v>
      </c>
      <c r="I78" s="6" t="s">
        <v>55</v>
      </c>
      <c r="J78" s="6" t="s">
        <v>20</v>
      </c>
      <c r="K78" s="7">
        <v>35.96</v>
      </c>
    </row>
    <row r="79" spans="1:11" s="4" customFormat="1" ht="10.199999999999999" x14ac:dyDescent="0.2">
      <c r="A79" s="6" t="str">
        <f t="shared" si="1"/>
        <v>0005580100</v>
      </c>
      <c r="B79" s="6" t="str">
        <f>"413261"</f>
        <v>413261</v>
      </c>
      <c r="C79" s="6" t="s">
        <v>53</v>
      </c>
      <c r="D79" s="6" t="s">
        <v>22</v>
      </c>
      <c r="E79" s="6" t="s">
        <v>23</v>
      </c>
      <c r="F79" s="6">
        <v>100</v>
      </c>
      <c r="G79" s="6" t="s">
        <v>47</v>
      </c>
      <c r="H79" s="6" t="s">
        <v>48</v>
      </c>
      <c r="I79" s="6" t="s">
        <v>35</v>
      </c>
      <c r="J79" s="6" t="s">
        <v>20</v>
      </c>
      <c r="K79" s="7">
        <v>35.96</v>
      </c>
    </row>
    <row r="80" spans="1:11" s="4" customFormat="1" ht="10.199999999999999" x14ac:dyDescent="0.2">
      <c r="A80" s="6" t="str">
        <f t="shared" si="1"/>
        <v>0005580100</v>
      </c>
      <c r="B80" s="6" t="str">
        <f>"440713"</f>
        <v>440713</v>
      </c>
      <c r="C80" s="6" t="s">
        <v>53</v>
      </c>
      <c r="D80" s="6" t="s">
        <v>22</v>
      </c>
      <c r="E80" s="6" t="s">
        <v>23</v>
      </c>
      <c r="F80" s="6">
        <v>100</v>
      </c>
      <c r="G80" s="6" t="s">
        <v>47</v>
      </c>
      <c r="H80" s="6" t="s">
        <v>48</v>
      </c>
      <c r="I80" s="6" t="s">
        <v>35</v>
      </c>
      <c r="J80" s="6" t="s">
        <v>20</v>
      </c>
      <c r="K80" s="7">
        <v>35.96</v>
      </c>
    </row>
    <row r="81" spans="1:11" s="4" customFormat="1" ht="10.199999999999999" x14ac:dyDescent="0.2">
      <c r="A81" s="6" t="str">
        <f t="shared" si="1"/>
        <v>0005580100</v>
      </c>
      <c r="B81" s="6" t="str">
        <f>"092210"</f>
        <v>092210</v>
      </c>
      <c r="C81" s="6" t="s">
        <v>57</v>
      </c>
      <c r="D81" s="6" t="s">
        <v>22</v>
      </c>
      <c r="E81" s="6" t="s">
        <v>52</v>
      </c>
      <c r="F81" s="6">
        <v>98</v>
      </c>
      <c r="G81" s="6" t="s">
        <v>47</v>
      </c>
      <c r="H81" s="6" t="s">
        <v>48</v>
      </c>
      <c r="I81" s="6" t="s">
        <v>28</v>
      </c>
      <c r="J81" s="6" t="s">
        <v>20</v>
      </c>
      <c r="K81" s="7">
        <v>22.22</v>
      </c>
    </row>
    <row r="82" spans="1:11" s="4" customFormat="1" ht="10.199999999999999" x14ac:dyDescent="0.2">
      <c r="A82" s="6" t="str">
        <f t="shared" si="1"/>
        <v>0005580100</v>
      </c>
      <c r="B82" s="6" t="str">
        <f>"505715"</f>
        <v>505715</v>
      </c>
      <c r="C82" s="6" t="s">
        <v>56</v>
      </c>
      <c r="D82" s="6" t="s">
        <v>22</v>
      </c>
      <c r="E82" s="6" t="s">
        <v>23</v>
      </c>
      <c r="F82" s="6">
        <v>98</v>
      </c>
      <c r="G82" s="6" t="s">
        <v>47</v>
      </c>
      <c r="H82" s="6" t="s">
        <v>48</v>
      </c>
      <c r="I82" s="6" t="s">
        <v>45</v>
      </c>
      <c r="J82" s="6" t="s">
        <v>20</v>
      </c>
      <c r="K82" s="7">
        <v>22.22</v>
      </c>
    </row>
    <row r="83" spans="1:11" s="4" customFormat="1" ht="10.19999999999999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7"/>
    </row>
    <row r="84" spans="1:11" s="4" customFormat="1" ht="10.19999999999999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7"/>
    </row>
    <row r="85" spans="1:11" s="4" customFormat="1" ht="10.199999999999999" x14ac:dyDescent="0.2">
      <c r="A85" s="6" t="str">
        <f>"0005760010"</f>
        <v>0005760010</v>
      </c>
      <c r="B85" s="6" t="str">
        <f>"406017"</f>
        <v>406017</v>
      </c>
      <c r="C85" s="6" t="s">
        <v>58</v>
      </c>
      <c r="D85" s="6" t="s">
        <v>59</v>
      </c>
      <c r="E85" s="6" t="s">
        <v>60</v>
      </c>
      <c r="F85" s="6">
        <v>10</v>
      </c>
      <c r="G85" s="6" t="s">
        <v>61</v>
      </c>
      <c r="H85" s="6" t="s">
        <v>62</v>
      </c>
      <c r="I85" s="6" t="s">
        <v>63</v>
      </c>
      <c r="J85" s="6" t="s">
        <v>17</v>
      </c>
      <c r="K85" s="7">
        <v>46.81</v>
      </c>
    </row>
    <row r="86" spans="1:11" s="4" customFormat="1" ht="10.199999999999999" x14ac:dyDescent="0.2">
      <c r="A86" s="6" t="str">
        <f>"0005760010"</f>
        <v>0005760010</v>
      </c>
      <c r="B86" s="6" t="str">
        <f>"031241"</f>
        <v>031241</v>
      </c>
      <c r="C86" s="6" t="s">
        <v>64</v>
      </c>
      <c r="D86" s="6" t="s">
        <v>59</v>
      </c>
      <c r="E86" s="6" t="s">
        <v>13</v>
      </c>
      <c r="F86" s="6">
        <v>10</v>
      </c>
      <c r="G86" s="6" t="s">
        <v>61</v>
      </c>
      <c r="H86" s="6" t="s">
        <v>62</v>
      </c>
      <c r="I86" s="6" t="s">
        <v>65</v>
      </c>
      <c r="J86" s="6" t="s">
        <v>20</v>
      </c>
      <c r="K86" s="7">
        <v>21.19</v>
      </c>
    </row>
    <row r="87" spans="1:11" s="4" customFormat="1" ht="20.399999999999999" x14ac:dyDescent="0.2">
      <c r="A87" s="6" t="str">
        <f>"0005760010"</f>
        <v>0005760010</v>
      </c>
      <c r="B87" s="6" t="str">
        <f>"122577"</f>
        <v>122577</v>
      </c>
      <c r="C87" s="6" t="s">
        <v>66</v>
      </c>
      <c r="D87" s="6" t="s">
        <v>59</v>
      </c>
      <c r="E87" s="6" t="s">
        <v>13</v>
      </c>
      <c r="F87" s="6">
        <v>10</v>
      </c>
      <c r="G87" s="6" t="s">
        <v>61</v>
      </c>
      <c r="H87" s="6" t="s">
        <v>62</v>
      </c>
      <c r="I87" s="6" t="s">
        <v>67</v>
      </c>
      <c r="J87" s="6" t="s">
        <v>20</v>
      </c>
      <c r="K87" s="7">
        <v>21.19</v>
      </c>
    </row>
    <row r="88" spans="1:11" s="4" customFormat="1" ht="20.399999999999999" x14ac:dyDescent="0.2">
      <c r="A88" s="6" t="str">
        <f>"0005760010"</f>
        <v>0005760010</v>
      </c>
      <c r="B88" s="6" t="str">
        <f>"396784"</f>
        <v>396784</v>
      </c>
      <c r="C88" s="6" t="s">
        <v>66</v>
      </c>
      <c r="D88" s="6" t="s">
        <v>59</v>
      </c>
      <c r="E88" s="6" t="s">
        <v>68</v>
      </c>
      <c r="F88" s="6" t="s">
        <v>69</v>
      </c>
      <c r="G88" s="6" t="s">
        <v>61</v>
      </c>
      <c r="H88" s="6" t="s">
        <v>62</v>
      </c>
      <c r="I88" s="6" t="s">
        <v>67</v>
      </c>
      <c r="J88" s="6" t="s">
        <v>20</v>
      </c>
      <c r="K88" s="7">
        <v>21.19</v>
      </c>
    </row>
    <row r="89" spans="1:11" s="4" customFormat="1" ht="10.19999999999999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7"/>
    </row>
    <row r="90" spans="1:11" s="4" customFormat="1" ht="10.199999999999999" x14ac:dyDescent="0.2">
      <c r="A90" s="6" t="str">
        <f>"0005760100"</f>
        <v>0005760100</v>
      </c>
      <c r="B90" s="6" t="str">
        <f>"495267"</f>
        <v>495267</v>
      </c>
      <c r="C90" s="6" t="s">
        <v>70</v>
      </c>
      <c r="D90" s="6" t="s">
        <v>59</v>
      </c>
      <c r="E90" s="6" t="s">
        <v>13</v>
      </c>
      <c r="F90" s="6">
        <v>100</v>
      </c>
      <c r="G90" s="6" t="s">
        <v>61</v>
      </c>
      <c r="H90" s="6" t="s">
        <v>62</v>
      </c>
      <c r="I90" s="6" t="s">
        <v>63</v>
      </c>
      <c r="J90" s="6" t="s">
        <v>17</v>
      </c>
      <c r="K90" s="7">
        <v>351.1</v>
      </c>
    </row>
    <row r="91" spans="1:11" s="4" customFormat="1" ht="10.199999999999999" x14ac:dyDescent="0.2">
      <c r="A91" s="6" t="str">
        <f>"0005760100"</f>
        <v>0005760100</v>
      </c>
      <c r="B91" s="6" t="str">
        <f>"031253"</f>
        <v>031253</v>
      </c>
      <c r="C91" s="6" t="s">
        <v>64</v>
      </c>
      <c r="D91" s="6" t="s">
        <v>59</v>
      </c>
      <c r="E91" s="6" t="s">
        <v>13</v>
      </c>
      <c r="F91" s="6">
        <v>100</v>
      </c>
      <c r="G91" s="6" t="s">
        <v>61</v>
      </c>
      <c r="H91" s="6" t="s">
        <v>62</v>
      </c>
      <c r="I91" s="6" t="s">
        <v>65</v>
      </c>
      <c r="J91" s="6" t="s">
        <v>20</v>
      </c>
      <c r="K91" s="7">
        <v>210.65</v>
      </c>
    </row>
    <row r="92" spans="1:11" s="4" customFormat="1" ht="10.19999999999999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7"/>
    </row>
    <row r="93" spans="1:11" s="4" customFormat="1" ht="10.19999999999999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7"/>
    </row>
    <row r="94" spans="1:11" s="4" customFormat="1" ht="10.199999999999999" x14ac:dyDescent="0.2">
      <c r="A94" s="6" t="str">
        <f>"0005770010"</f>
        <v>0005770010</v>
      </c>
      <c r="B94" s="6" t="str">
        <f>"406041"</f>
        <v>406041</v>
      </c>
      <c r="C94" s="6" t="s">
        <v>58</v>
      </c>
      <c r="D94" s="6" t="s">
        <v>71</v>
      </c>
      <c r="E94" s="6" t="s">
        <v>60</v>
      </c>
      <c r="F94" s="6">
        <v>10</v>
      </c>
      <c r="G94" s="6" t="s">
        <v>61</v>
      </c>
      <c r="H94" s="6" t="s">
        <v>62</v>
      </c>
      <c r="I94" s="6" t="s">
        <v>63</v>
      </c>
      <c r="J94" s="6" t="s">
        <v>17</v>
      </c>
      <c r="K94" s="7">
        <v>84.26</v>
      </c>
    </row>
    <row r="95" spans="1:11" s="4" customFormat="1" ht="20.399999999999999" x14ac:dyDescent="0.2">
      <c r="A95" s="6" t="str">
        <f>"0005770010"</f>
        <v>0005770010</v>
      </c>
      <c r="B95" s="6" t="str">
        <f>"122610"</f>
        <v>122610</v>
      </c>
      <c r="C95" s="6" t="s">
        <v>66</v>
      </c>
      <c r="D95" s="6" t="s">
        <v>71</v>
      </c>
      <c r="E95" s="6" t="s">
        <v>13</v>
      </c>
      <c r="F95" s="6">
        <v>10</v>
      </c>
      <c r="G95" s="6" t="s">
        <v>61</v>
      </c>
      <c r="H95" s="6" t="s">
        <v>62</v>
      </c>
      <c r="I95" s="6" t="s">
        <v>67</v>
      </c>
      <c r="J95" s="6" t="s">
        <v>20</v>
      </c>
      <c r="K95" s="7">
        <v>42.13</v>
      </c>
    </row>
    <row r="96" spans="1:11" s="4" customFormat="1" ht="10.199999999999999" x14ac:dyDescent="0.2">
      <c r="A96" s="6" t="str">
        <f>"0005770010"</f>
        <v>0005770010</v>
      </c>
      <c r="B96" s="6" t="str">
        <f>"154442"</f>
        <v>154442</v>
      </c>
      <c r="C96" s="6" t="s">
        <v>64</v>
      </c>
      <c r="D96" s="6" t="s">
        <v>71</v>
      </c>
      <c r="E96" s="6" t="s">
        <v>13</v>
      </c>
      <c r="F96" s="6">
        <v>10</v>
      </c>
      <c r="G96" s="6" t="s">
        <v>61</v>
      </c>
      <c r="H96" s="6" t="s">
        <v>62</v>
      </c>
      <c r="I96" s="6" t="s">
        <v>65</v>
      </c>
      <c r="J96" s="6" t="s">
        <v>20</v>
      </c>
      <c r="K96" s="7">
        <v>42.13</v>
      </c>
    </row>
    <row r="97" spans="1:11" s="4" customFormat="1" ht="20.399999999999999" x14ac:dyDescent="0.2">
      <c r="A97" s="6" t="str">
        <f>"0005770010"</f>
        <v>0005770010</v>
      </c>
      <c r="B97" s="6" t="str">
        <f>"385049"</f>
        <v>385049</v>
      </c>
      <c r="C97" s="6" t="s">
        <v>66</v>
      </c>
      <c r="D97" s="6" t="s">
        <v>71</v>
      </c>
      <c r="E97" s="6" t="s">
        <v>68</v>
      </c>
      <c r="F97" s="6" t="s">
        <v>69</v>
      </c>
      <c r="G97" s="6" t="s">
        <v>61</v>
      </c>
      <c r="H97" s="6" t="s">
        <v>62</v>
      </c>
      <c r="I97" s="6" t="s">
        <v>67</v>
      </c>
      <c r="J97" s="6" t="s">
        <v>20</v>
      </c>
      <c r="K97" s="7">
        <v>42.13</v>
      </c>
    </row>
    <row r="98" spans="1:11" s="4" customFormat="1" ht="10.199999999999999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7"/>
    </row>
    <row r="99" spans="1:11" s="4" customFormat="1" ht="10.199999999999999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7"/>
    </row>
    <row r="100" spans="1:11" s="4" customFormat="1" ht="10.199999999999999" x14ac:dyDescent="0.2">
      <c r="A100" s="6" t="str">
        <f>"0006580030"</f>
        <v>0006580030</v>
      </c>
      <c r="B100" s="6" t="str">
        <f>"021508"</f>
        <v>021508</v>
      </c>
      <c r="C100" s="6" t="s">
        <v>72</v>
      </c>
      <c r="D100" s="6" t="s">
        <v>73</v>
      </c>
      <c r="E100" s="6" t="s">
        <v>74</v>
      </c>
      <c r="F100" s="6">
        <v>28</v>
      </c>
      <c r="G100" s="6" t="s">
        <v>75</v>
      </c>
      <c r="H100" s="6" t="s">
        <v>76</v>
      </c>
      <c r="I100" s="6" t="s">
        <v>77</v>
      </c>
      <c r="J100" s="6" t="s">
        <v>17</v>
      </c>
      <c r="K100" s="7">
        <v>41.68</v>
      </c>
    </row>
    <row r="101" spans="1:11" s="4" customFormat="1" ht="10.199999999999999" x14ac:dyDescent="0.2">
      <c r="A101" s="6" t="str">
        <f>"0006580030"</f>
        <v>0006580030</v>
      </c>
      <c r="B101" s="6" t="str">
        <f>"547154"</f>
        <v>547154</v>
      </c>
      <c r="C101" s="6" t="s">
        <v>78</v>
      </c>
      <c r="D101" s="6" t="s">
        <v>73</v>
      </c>
      <c r="E101" s="6" t="s">
        <v>74</v>
      </c>
      <c r="F101" s="6">
        <v>30</v>
      </c>
      <c r="G101" s="6" t="s">
        <v>75</v>
      </c>
      <c r="H101" s="6" t="s">
        <v>76</v>
      </c>
      <c r="I101" s="6" t="s">
        <v>79</v>
      </c>
      <c r="J101" s="6" t="s">
        <v>20</v>
      </c>
      <c r="K101" s="7">
        <v>41.68</v>
      </c>
    </row>
    <row r="102" spans="1:11" s="4" customFormat="1" ht="10.199999999999999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11" s="4" customFormat="1" ht="10.199999999999999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7"/>
    </row>
    <row r="104" spans="1:11" s="4" customFormat="1" ht="10.199999999999999" x14ac:dyDescent="0.2">
      <c r="A104" s="6" t="str">
        <f>"0000400030"</f>
        <v>0000400030</v>
      </c>
      <c r="B104" s="6" t="str">
        <f>"003809"</f>
        <v>003809</v>
      </c>
      <c r="C104" s="6" t="s">
        <v>80</v>
      </c>
      <c r="D104" s="6" t="s">
        <v>81</v>
      </c>
      <c r="E104" s="6" t="s">
        <v>82</v>
      </c>
      <c r="F104" s="6">
        <v>28</v>
      </c>
      <c r="G104" s="6" t="s">
        <v>83</v>
      </c>
      <c r="H104" s="6" t="s">
        <v>84</v>
      </c>
      <c r="I104" s="6" t="s">
        <v>85</v>
      </c>
      <c r="J104" s="6" t="s">
        <v>17</v>
      </c>
      <c r="K104" s="7">
        <v>36.119999999999997</v>
      </c>
    </row>
    <row r="105" spans="1:11" s="4" customFormat="1" ht="10.199999999999999" x14ac:dyDescent="0.2">
      <c r="A105" s="6" t="str">
        <f>"0000400030"</f>
        <v>0000400030</v>
      </c>
      <c r="B105" s="6" t="str">
        <f>"014642"</f>
        <v>014642</v>
      </c>
      <c r="C105" s="6" t="s">
        <v>80</v>
      </c>
      <c r="D105" s="6" t="s">
        <v>81</v>
      </c>
      <c r="E105" s="6" t="s">
        <v>82</v>
      </c>
      <c r="F105" s="6">
        <v>28</v>
      </c>
      <c r="G105" s="6" t="s">
        <v>83</v>
      </c>
      <c r="H105" s="6" t="s">
        <v>84</v>
      </c>
      <c r="I105" s="6" t="s">
        <v>86</v>
      </c>
      <c r="J105" s="6" t="s">
        <v>87</v>
      </c>
      <c r="K105" s="7">
        <v>36.119999999999997</v>
      </c>
    </row>
    <row r="106" spans="1:11" s="5" customFormat="1" ht="10.199999999999999" x14ac:dyDescent="0.2">
      <c r="A106" s="6" t="str">
        <f>"0000400030"</f>
        <v>0000400030</v>
      </c>
      <c r="B106" s="6" t="str">
        <f>"023695"</f>
        <v>023695</v>
      </c>
      <c r="C106" s="6" t="s">
        <v>80</v>
      </c>
      <c r="D106" s="6" t="s">
        <v>81</v>
      </c>
      <c r="E106" s="6" t="s">
        <v>82</v>
      </c>
      <c r="F106" s="6">
        <v>28</v>
      </c>
      <c r="G106" s="6" t="s">
        <v>83</v>
      </c>
      <c r="H106" s="6" t="s">
        <v>84</v>
      </c>
      <c r="I106" s="6" t="s">
        <v>88</v>
      </c>
      <c r="J106" s="6" t="s">
        <v>87</v>
      </c>
      <c r="K106" s="7">
        <v>36.119999999999997</v>
      </c>
    </row>
    <row r="107" spans="1:11" s="5" customFormat="1" ht="10.199999999999999" x14ac:dyDescent="0.2">
      <c r="A107" s="6" t="str">
        <f>"0000400030"</f>
        <v>0000400030</v>
      </c>
      <c r="B107" s="6" t="str">
        <f>"133722"</f>
        <v>133722</v>
      </c>
      <c r="C107" s="6" t="s">
        <v>89</v>
      </c>
      <c r="D107" s="6" t="s">
        <v>81</v>
      </c>
      <c r="E107" s="6" t="s">
        <v>82</v>
      </c>
      <c r="F107" s="6">
        <v>30</v>
      </c>
      <c r="G107" s="6" t="s">
        <v>83</v>
      </c>
      <c r="H107" s="6" t="s">
        <v>84</v>
      </c>
      <c r="I107" s="6" t="s">
        <v>90</v>
      </c>
      <c r="J107" s="6" t="s">
        <v>20</v>
      </c>
      <c r="K107" s="7">
        <v>23.22</v>
      </c>
    </row>
    <row r="108" spans="1:11" s="5" customFormat="1" ht="10.199999999999999" x14ac:dyDescent="0.2">
      <c r="A108" s="6" t="str">
        <f>"0000400030"</f>
        <v>0000400030</v>
      </c>
      <c r="B108" s="6" t="str">
        <f>"457973"</f>
        <v>457973</v>
      </c>
      <c r="C108" s="6" t="s">
        <v>91</v>
      </c>
      <c r="D108" s="6" t="s">
        <v>81</v>
      </c>
      <c r="E108" s="6" t="s">
        <v>82</v>
      </c>
      <c r="F108" s="6">
        <v>28</v>
      </c>
      <c r="G108" s="6" t="s">
        <v>83</v>
      </c>
      <c r="H108" s="6" t="s">
        <v>84</v>
      </c>
      <c r="I108" s="6" t="s">
        <v>92</v>
      </c>
      <c r="J108" s="6" t="s">
        <v>20</v>
      </c>
      <c r="K108" s="7">
        <v>21.67</v>
      </c>
    </row>
    <row r="109" spans="1:11" s="5" customFormat="1" ht="10.199999999999999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11" s="5" customFormat="1" ht="10.199999999999999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11" s="4" customFormat="1" ht="10.199999999999999" x14ac:dyDescent="0.2">
      <c r="A111" s="6" t="str">
        <f>"0010370030"</f>
        <v>0010370030</v>
      </c>
      <c r="B111" s="6" t="str">
        <f>"003423"</f>
        <v>003423</v>
      </c>
      <c r="C111" s="6" t="s">
        <v>80</v>
      </c>
      <c r="D111" s="6" t="s">
        <v>93</v>
      </c>
      <c r="E111" s="6" t="s">
        <v>82</v>
      </c>
      <c r="F111" s="6">
        <v>28</v>
      </c>
      <c r="G111" s="6" t="s">
        <v>83</v>
      </c>
      <c r="H111" s="6" t="s">
        <v>84</v>
      </c>
      <c r="I111" s="6" t="s">
        <v>85</v>
      </c>
      <c r="J111" s="6" t="s">
        <v>17</v>
      </c>
      <c r="K111" s="7">
        <v>20.16</v>
      </c>
    </row>
    <row r="112" spans="1:11" s="4" customFormat="1" ht="10.199999999999999" x14ac:dyDescent="0.2">
      <c r="A112" s="6" t="str">
        <f>"0010370030"</f>
        <v>0010370030</v>
      </c>
      <c r="B112" s="6" t="str">
        <f>"425881"</f>
        <v>425881</v>
      </c>
      <c r="C112" s="6" t="s">
        <v>89</v>
      </c>
      <c r="D112" s="6" t="s">
        <v>93</v>
      </c>
      <c r="E112" s="6" t="s">
        <v>82</v>
      </c>
      <c r="F112" s="6">
        <v>30</v>
      </c>
      <c r="G112" s="6" t="s">
        <v>83</v>
      </c>
      <c r="H112" s="6" t="s">
        <v>84</v>
      </c>
      <c r="I112" s="6" t="s">
        <v>90</v>
      </c>
      <c r="J112" s="6" t="s">
        <v>20</v>
      </c>
      <c r="K112" s="7">
        <v>12.96</v>
      </c>
    </row>
    <row r="113" spans="1:11" s="4" customFormat="1" ht="10.199999999999999" x14ac:dyDescent="0.2">
      <c r="A113" s="6" t="str">
        <f>"0010370030"</f>
        <v>0010370030</v>
      </c>
      <c r="B113" s="6" t="str">
        <f>"050592"</f>
        <v>050592</v>
      </c>
      <c r="C113" s="6" t="s">
        <v>94</v>
      </c>
      <c r="D113" s="6" t="s">
        <v>93</v>
      </c>
      <c r="E113" s="6" t="s">
        <v>82</v>
      </c>
      <c r="F113" s="6">
        <v>28</v>
      </c>
      <c r="G113" s="6" t="s">
        <v>83</v>
      </c>
      <c r="H113" s="6" t="s">
        <v>84</v>
      </c>
      <c r="I113" s="6" t="s">
        <v>35</v>
      </c>
      <c r="J113" s="6" t="s">
        <v>20</v>
      </c>
      <c r="K113" s="7">
        <v>12.1</v>
      </c>
    </row>
    <row r="114" spans="1:11" s="4" customFormat="1" ht="10.199999999999999" x14ac:dyDescent="0.2">
      <c r="A114" s="6" t="str">
        <f>"0010370030"</f>
        <v>0010370030</v>
      </c>
      <c r="B114" s="6" t="str">
        <f>"390784"</f>
        <v>390784</v>
      </c>
      <c r="C114" s="6" t="s">
        <v>91</v>
      </c>
      <c r="D114" s="6" t="s">
        <v>93</v>
      </c>
      <c r="E114" s="6" t="s">
        <v>82</v>
      </c>
      <c r="F114" s="6">
        <v>28</v>
      </c>
      <c r="G114" s="6" t="s">
        <v>83</v>
      </c>
      <c r="H114" s="6" t="s">
        <v>84</v>
      </c>
      <c r="I114" s="6" t="s">
        <v>92</v>
      </c>
      <c r="J114" s="6" t="s">
        <v>20</v>
      </c>
      <c r="K114" s="7">
        <v>12.1</v>
      </c>
    </row>
    <row r="115" spans="1:11" s="4" customFormat="1" ht="10.199999999999999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7"/>
    </row>
    <row r="116" spans="1:11" s="4" customFormat="1" ht="10.199999999999999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7"/>
    </row>
    <row r="117" spans="1:11" s="4" customFormat="1" ht="10.199999999999999" x14ac:dyDescent="0.2">
      <c r="A117" s="6" t="str">
        <f>"0010370100"</f>
        <v>0010370100</v>
      </c>
      <c r="B117" s="6" t="str">
        <f>"003800"</f>
        <v>003800</v>
      </c>
      <c r="C117" s="6" t="s">
        <v>80</v>
      </c>
      <c r="D117" s="6" t="s">
        <v>93</v>
      </c>
      <c r="E117" s="6" t="s">
        <v>82</v>
      </c>
      <c r="F117" s="6">
        <v>98</v>
      </c>
      <c r="G117" s="6" t="s">
        <v>83</v>
      </c>
      <c r="H117" s="6" t="s">
        <v>84</v>
      </c>
      <c r="I117" s="6" t="s">
        <v>85</v>
      </c>
      <c r="J117" s="6" t="s">
        <v>17</v>
      </c>
      <c r="K117" s="7">
        <v>64.37</v>
      </c>
    </row>
    <row r="118" spans="1:11" s="4" customFormat="1" ht="10.199999999999999" x14ac:dyDescent="0.2">
      <c r="A118" s="6" t="str">
        <f>"0010370100"</f>
        <v>0010370100</v>
      </c>
      <c r="B118" s="6" t="str">
        <f>"017739"</f>
        <v>017739</v>
      </c>
      <c r="C118" s="6" t="s">
        <v>80</v>
      </c>
      <c r="D118" s="6" t="s">
        <v>93</v>
      </c>
      <c r="E118" s="6" t="s">
        <v>82</v>
      </c>
      <c r="F118" s="6">
        <v>98</v>
      </c>
      <c r="G118" s="6" t="s">
        <v>83</v>
      </c>
      <c r="H118" s="6" t="s">
        <v>84</v>
      </c>
      <c r="I118" s="6" t="s">
        <v>86</v>
      </c>
      <c r="J118" s="6" t="s">
        <v>87</v>
      </c>
      <c r="K118" s="7">
        <v>64.37</v>
      </c>
    </row>
    <row r="119" spans="1:11" s="4" customFormat="1" ht="10.199999999999999" x14ac:dyDescent="0.2">
      <c r="A119" s="6" t="str">
        <f>"0010370100"</f>
        <v>0010370100</v>
      </c>
      <c r="B119" s="6" t="str">
        <f>"106932"</f>
        <v>106932</v>
      </c>
      <c r="C119" s="6" t="s">
        <v>91</v>
      </c>
      <c r="D119" s="6" t="s">
        <v>93</v>
      </c>
      <c r="E119" s="6" t="s">
        <v>82</v>
      </c>
      <c r="F119" s="6">
        <v>98</v>
      </c>
      <c r="G119" s="6" t="s">
        <v>83</v>
      </c>
      <c r="H119" s="6" t="s">
        <v>84</v>
      </c>
      <c r="I119" s="6" t="s">
        <v>92</v>
      </c>
      <c r="J119" s="6" t="s">
        <v>20</v>
      </c>
      <c r="K119" s="7">
        <v>38.619999999999997</v>
      </c>
    </row>
    <row r="120" spans="1:11" s="4" customFormat="1" ht="10.199999999999999" x14ac:dyDescent="0.2">
      <c r="A120" s="6" t="str">
        <f>"0010370100"</f>
        <v>0010370100</v>
      </c>
      <c r="B120" s="6" t="str">
        <f>"199319"</f>
        <v>199319</v>
      </c>
      <c r="C120" s="6" t="s">
        <v>89</v>
      </c>
      <c r="D120" s="6" t="s">
        <v>93</v>
      </c>
      <c r="E120" s="6" t="s">
        <v>82</v>
      </c>
      <c r="F120" s="6">
        <v>98</v>
      </c>
      <c r="G120" s="6" t="s">
        <v>83</v>
      </c>
      <c r="H120" s="6" t="s">
        <v>84</v>
      </c>
      <c r="I120" s="6" t="s">
        <v>90</v>
      </c>
      <c r="J120" s="6" t="s">
        <v>20</v>
      </c>
      <c r="K120" s="7">
        <v>38.619999999999997</v>
      </c>
    </row>
    <row r="121" spans="1:11" s="4" customFormat="1" ht="10.199999999999999" x14ac:dyDescent="0.2">
      <c r="A121" s="6" t="str">
        <f>"0010370100"</f>
        <v>0010370100</v>
      </c>
      <c r="B121" s="6" t="str">
        <f>"496468"</f>
        <v>496468</v>
      </c>
      <c r="C121" s="6" t="s">
        <v>94</v>
      </c>
      <c r="D121" s="6" t="s">
        <v>93</v>
      </c>
      <c r="E121" s="6" t="s">
        <v>82</v>
      </c>
      <c r="F121" s="6">
        <v>98</v>
      </c>
      <c r="G121" s="6" t="s">
        <v>83</v>
      </c>
      <c r="H121" s="6" t="s">
        <v>84</v>
      </c>
      <c r="I121" s="6" t="s">
        <v>35</v>
      </c>
      <c r="J121" s="6" t="s">
        <v>20</v>
      </c>
      <c r="K121" s="7">
        <v>38.6</v>
      </c>
    </row>
    <row r="122" spans="1:11" s="4" customFormat="1" ht="10.199999999999999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7"/>
    </row>
    <row r="123" spans="1:11" s="4" customFormat="1" ht="10.199999999999999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7"/>
    </row>
    <row r="124" spans="1:11" s="4" customFormat="1" ht="10.199999999999999" x14ac:dyDescent="0.2">
      <c r="A124" s="6" t="str">
        <f>"0010390090"</f>
        <v>0010390090</v>
      </c>
      <c r="B124" s="6" t="str">
        <f>"517714"</f>
        <v>517714</v>
      </c>
      <c r="C124" s="6" t="s">
        <v>95</v>
      </c>
      <c r="D124" s="6" t="s">
        <v>96</v>
      </c>
      <c r="E124" s="6" t="s">
        <v>82</v>
      </c>
      <c r="F124" s="6">
        <v>90</v>
      </c>
      <c r="G124" s="6" t="s">
        <v>97</v>
      </c>
      <c r="H124" s="6" t="s">
        <v>98</v>
      </c>
      <c r="I124" s="6" t="s">
        <v>99</v>
      </c>
      <c r="J124" s="6" t="s">
        <v>17</v>
      </c>
      <c r="K124" s="7">
        <v>13.6</v>
      </c>
    </row>
    <row r="125" spans="1:11" s="4" customFormat="1" ht="10.199999999999999" x14ac:dyDescent="0.2">
      <c r="A125" s="6" t="str">
        <f>"0010390090"</f>
        <v>0010390090</v>
      </c>
      <c r="B125" s="6" t="str">
        <f>"101318"</f>
        <v>101318</v>
      </c>
      <c r="C125" s="6" t="s">
        <v>100</v>
      </c>
      <c r="D125" s="6" t="s">
        <v>96</v>
      </c>
      <c r="E125" s="6" t="s">
        <v>82</v>
      </c>
      <c r="F125" s="6">
        <v>90</v>
      </c>
      <c r="G125" s="6" t="s">
        <v>97</v>
      </c>
      <c r="H125" s="6" t="s">
        <v>98</v>
      </c>
      <c r="I125" s="6" t="s">
        <v>35</v>
      </c>
      <c r="J125" s="6" t="s">
        <v>20</v>
      </c>
      <c r="K125" s="7">
        <v>8.16</v>
      </c>
    </row>
    <row r="126" spans="1:11" s="4" customFormat="1" ht="10.199999999999999" x14ac:dyDescent="0.2">
      <c r="A126" s="6" t="str">
        <f>"0010390090"</f>
        <v>0010390090</v>
      </c>
      <c r="B126" s="6" t="str">
        <f>"104623"</f>
        <v>104623</v>
      </c>
      <c r="C126" s="6" t="s">
        <v>101</v>
      </c>
      <c r="D126" s="6" t="s">
        <v>96</v>
      </c>
      <c r="E126" s="6" t="s">
        <v>82</v>
      </c>
      <c r="F126" s="6">
        <v>90</v>
      </c>
      <c r="G126" s="6" t="s">
        <v>97</v>
      </c>
      <c r="H126" s="6" t="s">
        <v>98</v>
      </c>
      <c r="I126" s="6" t="s">
        <v>65</v>
      </c>
      <c r="J126" s="6" t="s">
        <v>20</v>
      </c>
      <c r="K126" s="7">
        <v>8.16</v>
      </c>
    </row>
    <row r="127" spans="1:11" s="4" customFormat="1" ht="10.199999999999999" x14ac:dyDescent="0.2">
      <c r="A127" s="6" t="str">
        <f>"0010390090"</f>
        <v>0010390090</v>
      </c>
      <c r="B127" s="6" t="str">
        <f>"164800"</f>
        <v>164800</v>
      </c>
      <c r="C127" s="6" t="s">
        <v>102</v>
      </c>
      <c r="D127" s="6" t="s">
        <v>96</v>
      </c>
      <c r="E127" s="6" t="s">
        <v>82</v>
      </c>
      <c r="F127" s="6">
        <v>90</v>
      </c>
      <c r="G127" s="6" t="s">
        <v>97</v>
      </c>
      <c r="H127" s="6" t="s">
        <v>98</v>
      </c>
      <c r="I127" s="6" t="s">
        <v>103</v>
      </c>
      <c r="J127" s="6" t="s">
        <v>20</v>
      </c>
      <c r="K127" s="7">
        <v>8.16</v>
      </c>
    </row>
    <row r="128" spans="1:11" s="4" customFormat="1" ht="10.199999999999999" x14ac:dyDescent="0.2">
      <c r="A128" s="6" t="str">
        <f>"0010390090"</f>
        <v>0010390090</v>
      </c>
      <c r="B128" s="6" t="str">
        <f>"507367"</f>
        <v>507367</v>
      </c>
      <c r="C128" s="6" t="s">
        <v>104</v>
      </c>
      <c r="D128" s="6" t="s">
        <v>96</v>
      </c>
      <c r="E128" s="6" t="s">
        <v>82</v>
      </c>
      <c r="F128" s="6">
        <v>90</v>
      </c>
      <c r="G128" s="6" t="s">
        <v>97</v>
      </c>
      <c r="H128" s="6" t="s">
        <v>98</v>
      </c>
      <c r="I128" s="6" t="s">
        <v>90</v>
      </c>
      <c r="J128" s="6" t="s">
        <v>20</v>
      </c>
      <c r="K128" s="7">
        <v>8.16</v>
      </c>
    </row>
    <row r="129" spans="1:11" s="4" customFormat="1" ht="10.199999999999999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7"/>
    </row>
    <row r="130" spans="1:11" s="4" customFormat="1" ht="10.199999999999999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1:11" s="4" customFormat="1" ht="10.199999999999999" x14ac:dyDescent="0.2">
      <c r="A131" s="6" t="str">
        <f>"0010400090"</f>
        <v>0010400090</v>
      </c>
      <c r="B131" s="6" t="str">
        <f>"517755"</f>
        <v>517755</v>
      </c>
      <c r="C131" s="6" t="s">
        <v>95</v>
      </c>
      <c r="D131" s="6" t="s">
        <v>105</v>
      </c>
      <c r="E131" s="6" t="s">
        <v>82</v>
      </c>
      <c r="F131" s="6">
        <v>90</v>
      </c>
      <c r="G131" s="6" t="s">
        <v>97</v>
      </c>
      <c r="H131" s="6" t="s">
        <v>98</v>
      </c>
      <c r="I131" s="6" t="s">
        <v>99</v>
      </c>
      <c r="J131" s="6" t="s">
        <v>17</v>
      </c>
      <c r="K131" s="7">
        <v>13.6</v>
      </c>
    </row>
    <row r="132" spans="1:11" s="4" customFormat="1" ht="10.199999999999999" x14ac:dyDescent="0.2">
      <c r="A132" s="6" t="str">
        <f>"0010400090"</f>
        <v>0010400090</v>
      </c>
      <c r="B132" s="6" t="str">
        <f>"039168"</f>
        <v>039168</v>
      </c>
      <c r="C132" s="6" t="s">
        <v>102</v>
      </c>
      <c r="D132" s="6" t="s">
        <v>105</v>
      </c>
      <c r="E132" s="6" t="s">
        <v>82</v>
      </c>
      <c r="F132" s="6">
        <v>90</v>
      </c>
      <c r="G132" s="6" t="s">
        <v>97</v>
      </c>
      <c r="H132" s="6" t="s">
        <v>98</v>
      </c>
      <c r="I132" s="6" t="s">
        <v>103</v>
      </c>
      <c r="J132" s="6" t="s">
        <v>20</v>
      </c>
      <c r="K132" s="7">
        <v>8.16</v>
      </c>
    </row>
    <row r="133" spans="1:11" s="4" customFormat="1" ht="10.199999999999999" x14ac:dyDescent="0.2">
      <c r="A133" s="6" t="str">
        <f>"0010400090"</f>
        <v>0010400090</v>
      </c>
      <c r="B133" s="6" t="str">
        <f>"101330"</f>
        <v>101330</v>
      </c>
      <c r="C133" s="6" t="s">
        <v>100</v>
      </c>
      <c r="D133" s="6" t="s">
        <v>105</v>
      </c>
      <c r="E133" s="6" t="s">
        <v>82</v>
      </c>
      <c r="F133" s="6">
        <v>90</v>
      </c>
      <c r="G133" s="6" t="s">
        <v>97</v>
      </c>
      <c r="H133" s="6" t="s">
        <v>98</v>
      </c>
      <c r="I133" s="6" t="s">
        <v>35</v>
      </c>
      <c r="J133" s="6" t="s">
        <v>20</v>
      </c>
      <c r="K133" s="7">
        <v>8.16</v>
      </c>
    </row>
    <row r="134" spans="1:11" s="4" customFormat="1" ht="10.199999999999999" x14ac:dyDescent="0.2">
      <c r="A134" s="6" t="str">
        <f>"0010400090"</f>
        <v>0010400090</v>
      </c>
      <c r="B134" s="6" t="str">
        <f>"125912"</f>
        <v>125912</v>
      </c>
      <c r="C134" s="6" t="s">
        <v>101</v>
      </c>
      <c r="D134" s="6" t="s">
        <v>105</v>
      </c>
      <c r="E134" s="6" t="s">
        <v>82</v>
      </c>
      <c r="F134" s="6">
        <v>90</v>
      </c>
      <c r="G134" s="6" t="s">
        <v>97</v>
      </c>
      <c r="H134" s="6" t="s">
        <v>98</v>
      </c>
      <c r="I134" s="6" t="s">
        <v>65</v>
      </c>
      <c r="J134" s="6" t="s">
        <v>20</v>
      </c>
      <c r="K134" s="7">
        <v>8.16</v>
      </c>
    </row>
    <row r="135" spans="1:11" s="4" customFormat="1" ht="10.199999999999999" x14ac:dyDescent="0.2">
      <c r="A135" s="6" t="str">
        <f>"0010400090"</f>
        <v>0010400090</v>
      </c>
      <c r="B135" s="6" t="str">
        <f>"394357"</f>
        <v>394357</v>
      </c>
      <c r="C135" s="6" t="s">
        <v>104</v>
      </c>
      <c r="D135" s="6" t="s">
        <v>105</v>
      </c>
      <c r="E135" s="6" t="s">
        <v>82</v>
      </c>
      <c r="F135" s="6">
        <v>90</v>
      </c>
      <c r="G135" s="6" t="s">
        <v>97</v>
      </c>
      <c r="H135" s="6" t="s">
        <v>98</v>
      </c>
      <c r="I135" s="6" t="s">
        <v>90</v>
      </c>
      <c r="J135" s="6" t="s">
        <v>20</v>
      </c>
      <c r="K135" s="7">
        <v>8.16</v>
      </c>
    </row>
    <row r="136" spans="1:11" s="4" customFormat="1" ht="10.199999999999999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7"/>
    </row>
    <row r="137" spans="1:11" s="4" customFormat="1" ht="10.199999999999999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7"/>
    </row>
    <row r="138" spans="1:11" s="4" customFormat="1" ht="10.199999999999999" x14ac:dyDescent="0.2">
      <c r="A138" s="6" t="str">
        <f>"0010410090"</f>
        <v>0010410090</v>
      </c>
      <c r="B138" s="6" t="str">
        <f>"517813"</f>
        <v>517813</v>
      </c>
      <c r="C138" s="6" t="s">
        <v>95</v>
      </c>
      <c r="D138" s="6" t="s">
        <v>106</v>
      </c>
      <c r="E138" s="6" t="s">
        <v>82</v>
      </c>
      <c r="F138" s="6">
        <v>90</v>
      </c>
      <c r="G138" s="6" t="s">
        <v>97</v>
      </c>
      <c r="H138" s="6" t="s">
        <v>98</v>
      </c>
      <c r="I138" s="6" t="s">
        <v>99</v>
      </c>
      <c r="J138" s="6" t="s">
        <v>17</v>
      </c>
      <c r="K138" s="7">
        <v>13.6</v>
      </c>
    </row>
    <row r="139" spans="1:11" s="4" customFormat="1" ht="10.199999999999999" x14ac:dyDescent="0.2">
      <c r="A139" s="6" t="str">
        <f>"0010410090"</f>
        <v>0010410090</v>
      </c>
      <c r="B139" s="6" t="str">
        <f>"101341"</f>
        <v>101341</v>
      </c>
      <c r="C139" s="6" t="s">
        <v>100</v>
      </c>
      <c r="D139" s="6" t="s">
        <v>106</v>
      </c>
      <c r="E139" s="6" t="s">
        <v>82</v>
      </c>
      <c r="F139" s="6">
        <v>90</v>
      </c>
      <c r="G139" s="6" t="s">
        <v>97</v>
      </c>
      <c r="H139" s="6" t="s">
        <v>98</v>
      </c>
      <c r="I139" s="6" t="s">
        <v>35</v>
      </c>
      <c r="J139" s="6" t="s">
        <v>20</v>
      </c>
      <c r="K139" s="7">
        <v>8.16</v>
      </c>
    </row>
    <row r="140" spans="1:11" s="4" customFormat="1" ht="10.199999999999999" x14ac:dyDescent="0.2">
      <c r="A140" s="6" t="str">
        <f>"0010410090"</f>
        <v>0010410090</v>
      </c>
      <c r="B140" s="6" t="str">
        <f>"170978"</f>
        <v>170978</v>
      </c>
      <c r="C140" s="6" t="s">
        <v>101</v>
      </c>
      <c r="D140" s="6" t="s">
        <v>106</v>
      </c>
      <c r="E140" s="6" t="s">
        <v>82</v>
      </c>
      <c r="F140" s="6">
        <v>90</v>
      </c>
      <c r="G140" s="6" t="s">
        <v>97</v>
      </c>
      <c r="H140" s="6" t="s">
        <v>98</v>
      </c>
      <c r="I140" s="6" t="s">
        <v>65</v>
      </c>
      <c r="J140" s="6" t="s">
        <v>20</v>
      </c>
      <c r="K140" s="7">
        <v>8.16</v>
      </c>
    </row>
    <row r="141" spans="1:11" s="4" customFormat="1" ht="10.199999999999999" x14ac:dyDescent="0.2">
      <c r="A141" s="6" t="str">
        <f>"0010410090"</f>
        <v>0010410090</v>
      </c>
      <c r="B141" s="6" t="str">
        <f>"431948"</f>
        <v>431948</v>
      </c>
      <c r="C141" s="6" t="s">
        <v>102</v>
      </c>
      <c r="D141" s="6" t="s">
        <v>106</v>
      </c>
      <c r="E141" s="6" t="s">
        <v>82</v>
      </c>
      <c r="F141" s="6">
        <v>90</v>
      </c>
      <c r="G141" s="6" t="s">
        <v>97</v>
      </c>
      <c r="H141" s="6" t="s">
        <v>98</v>
      </c>
      <c r="I141" s="6" t="s">
        <v>103</v>
      </c>
      <c r="J141" s="6" t="s">
        <v>20</v>
      </c>
      <c r="K141" s="7">
        <v>8.16</v>
      </c>
    </row>
    <row r="142" spans="1:11" s="4" customFormat="1" ht="10.199999999999999" x14ac:dyDescent="0.2">
      <c r="A142" s="6" t="str">
        <f>"0010410090"</f>
        <v>0010410090</v>
      </c>
      <c r="B142" s="6" t="str">
        <f>"590852"</f>
        <v>590852</v>
      </c>
      <c r="C142" s="6" t="s">
        <v>104</v>
      </c>
      <c r="D142" s="6" t="s">
        <v>106</v>
      </c>
      <c r="E142" s="6" t="s">
        <v>82</v>
      </c>
      <c r="F142" s="6">
        <v>90</v>
      </c>
      <c r="G142" s="6" t="s">
        <v>97</v>
      </c>
      <c r="H142" s="6" t="s">
        <v>98</v>
      </c>
      <c r="I142" s="6" t="s">
        <v>90</v>
      </c>
      <c r="J142" s="6" t="s">
        <v>20</v>
      </c>
      <c r="K142" s="7">
        <v>8.16</v>
      </c>
    </row>
    <row r="143" spans="1:11" s="4" customFormat="1" ht="10.199999999999999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7"/>
    </row>
    <row r="144" spans="1:11" s="4" customFormat="1" ht="10.199999999999999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7"/>
    </row>
    <row r="145" spans="1:11" s="4" customFormat="1" ht="10.199999999999999" x14ac:dyDescent="0.2">
      <c r="A145" s="6" t="str">
        <f>"0012870100"</f>
        <v>0012870100</v>
      </c>
      <c r="B145" s="6" t="str">
        <f>"419242"</f>
        <v>419242</v>
      </c>
      <c r="C145" s="6" t="s">
        <v>107</v>
      </c>
      <c r="D145" s="6" t="s">
        <v>108</v>
      </c>
      <c r="E145" s="6" t="s">
        <v>109</v>
      </c>
      <c r="F145" s="6">
        <v>100</v>
      </c>
      <c r="G145" s="6" t="s">
        <v>110</v>
      </c>
      <c r="H145" s="6" t="s">
        <v>111</v>
      </c>
      <c r="I145" s="6" t="s">
        <v>112</v>
      </c>
      <c r="J145" s="6" t="s">
        <v>17</v>
      </c>
      <c r="K145" s="7">
        <v>22.07</v>
      </c>
    </row>
    <row r="146" spans="1:11" s="4" customFormat="1" ht="10.199999999999999" x14ac:dyDescent="0.2">
      <c r="A146" s="6" t="str">
        <f>"0012870100"</f>
        <v>0012870100</v>
      </c>
      <c r="B146" s="6" t="str">
        <f>"575192"</f>
        <v>575192</v>
      </c>
      <c r="C146" s="6" t="s">
        <v>113</v>
      </c>
      <c r="D146" s="6" t="s">
        <v>108</v>
      </c>
      <c r="E146" s="6" t="s">
        <v>109</v>
      </c>
      <c r="F146" s="6">
        <v>100</v>
      </c>
      <c r="G146" s="6" t="s">
        <v>110</v>
      </c>
      <c r="H146" s="6" t="s">
        <v>111</v>
      </c>
      <c r="I146" s="6" t="s">
        <v>114</v>
      </c>
      <c r="J146" s="6" t="s">
        <v>20</v>
      </c>
      <c r="K146" s="7">
        <v>13.24</v>
      </c>
    </row>
    <row r="147" spans="1:11" s="4" customFormat="1" ht="10.199999999999999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7"/>
    </row>
    <row r="148" spans="1:11" s="4" customFormat="1" ht="10.199999999999999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7"/>
    </row>
    <row r="149" spans="1:11" s="4" customFormat="1" ht="10.199999999999999" x14ac:dyDescent="0.2">
      <c r="A149" s="6" t="str">
        <f>"0012880100"</f>
        <v>0012880100</v>
      </c>
      <c r="B149" s="6" t="str">
        <f>"546507"</f>
        <v>546507</v>
      </c>
      <c r="C149" s="6" t="s">
        <v>107</v>
      </c>
      <c r="D149" s="6" t="s">
        <v>115</v>
      </c>
      <c r="E149" s="6" t="s">
        <v>109</v>
      </c>
      <c r="F149" s="6">
        <v>100</v>
      </c>
      <c r="G149" s="6" t="s">
        <v>110</v>
      </c>
      <c r="H149" s="6" t="s">
        <v>111</v>
      </c>
      <c r="I149" s="6" t="s">
        <v>112</v>
      </c>
      <c r="J149" s="6" t="s">
        <v>17</v>
      </c>
      <c r="K149" s="7">
        <v>37.729999999999997</v>
      </c>
    </row>
    <row r="150" spans="1:11" s="4" customFormat="1" ht="10.199999999999999" x14ac:dyDescent="0.2">
      <c r="A150" s="6" t="str">
        <f>"0012880100"</f>
        <v>0012880100</v>
      </c>
      <c r="B150" s="6" t="str">
        <f>"140310"</f>
        <v>140310</v>
      </c>
      <c r="C150" s="6" t="s">
        <v>113</v>
      </c>
      <c r="D150" s="6" t="s">
        <v>115</v>
      </c>
      <c r="E150" s="6" t="s">
        <v>109</v>
      </c>
      <c r="F150" s="6">
        <v>100</v>
      </c>
      <c r="G150" s="6" t="s">
        <v>110</v>
      </c>
      <c r="H150" s="6" t="s">
        <v>111</v>
      </c>
      <c r="I150" s="6" t="s">
        <v>114</v>
      </c>
      <c r="J150" s="6" t="s">
        <v>20</v>
      </c>
      <c r="K150" s="7">
        <v>22.64</v>
      </c>
    </row>
    <row r="151" spans="1:11" s="4" customFormat="1" ht="10.199999999999999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7"/>
    </row>
    <row r="152" spans="1:11" s="4" customFormat="1" ht="10.199999999999999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7"/>
    </row>
    <row r="153" spans="1:11" s="4" customFormat="1" ht="20.399999999999999" x14ac:dyDescent="0.2">
      <c r="A153" s="6" t="str">
        <f>"0013770100"</f>
        <v>0013770100</v>
      </c>
      <c r="B153" s="6" t="str">
        <f>"042379"</f>
        <v>042379</v>
      </c>
      <c r="C153" s="6" t="s">
        <v>116</v>
      </c>
      <c r="D153" s="6"/>
      <c r="E153" s="6" t="s">
        <v>117</v>
      </c>
      <c r="F153" s="6" t="s">
        <v>118</v>
      </c>
      <c r="G153" s="6" t="s">
        <v>119</v>
      </c>
      <c r="H153" s="6" t="s">
        <v>120</v>
      </c>
      <c r="I153" s="6" t="s">
        <v>121</v>
      </c>
      <c r="J153" s="6" t="s">
        <v>17</v>
      </c>
      <c r="K153" s="7">
        <v>20.74</v>
      </c>
    </row>
    <row r="154" spans="1:11" s="4" customFormat="1" ht="20.399999999999999" x14ac:dyDescent="0.2">
      <c r="A154" s="6" t="str">
        <f>"0013770100"</f>
        <v>0013770100</v>
      </c>
      <c r="B154" s="6" t="str">
        <f>"526297"</f>
        <v>526297</v>
      </c>
      <c r="C154" s="6" t="s">
        <v>122</v>
      </c>
      <c r="D154" s="6" t="s">
        <v>123</v>
      </c>
      <c r="E154" s="6" t="s">
        <v>117</v>
      </c>
      <c r="F154" s="6">
        <v>100</v>
      </c>
      <c r="G154" s="6" t="s">
        <v>119</v>
      </c>
      <c r="H154" s="6" t="s">
        <v>120</v>
      </c>
      <c r="I154" s="6" t="s">
        <v>124</v>
      </c>
      <c r="J154" s="6" t="s">
        <v>20</v>
      </c>
      <c r="K154" s="7">
        <v>12.44</v>
      </c>
    </row>
    <row r="155" spans="1:11" s="4" customFormat="1" ht="10.199999999999999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1:11" s="4" customFormat="1" ht="10.199999999999999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7"/>
    </row>
    <row r="157" spans="1:11" s="4" customFormat="1" ht="10.199999999999999" x14ac:dyDescent="0.2">
      <c r="A157" s="6" t="str">
        <f>"0000520100"</f>
        <v>0000520100</v>
      </c>
      <c r="B157" s="6" t="str">
        <f>"016642"</f>
        <v>016642</v>
      </c>
      <c r="C157" s="6" t="s">
        <v>125</v>
      </c>
      <c r="D157" s="6" t="s">
        <v>126</v>
      </c>
      <c r="E157" s="6" t="s">
        <v>13</v>
      </c>
      <c r="F157" s="6">
        <v>98</v>
      </c>
      <c r="G157" s="6" t="s">
        <v>127</v>
      </c>
      <c r="H157" s="6" t="s">
        <v>128</v>
      </c>
      <c r="I157" s="6" t="s">
        <v>129</v>
      </c>
      <c r="J157" s="6" t="s">
        <v>17</v>
      </c>
      <c r="K157" s="7">
        <v>31.99</v>
      </c>
    </row>
    <row r="158" spans="1:11" s="4" customFormat="1" ht="10.199999999999999" x14ac:dyDescent="0.2">
      <c r="A158" s="6" t="str">
        <f>"0000520100"</f>
        <v>0000520100</v>
      </c>
      <c r="B158" s="6" t="str">
        <f>"031496"</f>
        <v>031496</v>
      </c>
      <c r="C158" s="6" t="s">
        <v>130</v>
      </c>
      <c r="D158" s="6" t="s">
        <v>126</v>
      </c>
      <c r="E158" s="6" t="s">
        <v>13</v>
      </c>
      <c r="F158" s="6">
        <v>98</v>
      </c>
      <c r="G158" s="6" t="s">
        <v>127</v>
      </c>
      <c r="H158" s="6" t="s">
        <v>128</v>
      </c>
      <c r="I158" s="6" t="s">
        <v>65</v>
      </c>
      <c r="J158" s="6" t="s">
        <v>20</v>
      </c>
      <c r="K158" s="7">
        <v>19.190000000000001</v>
      </c>
    </row>
    <row r="159" spans="1:11" s="4" customFormat="1" ht="10.199999999999999" x14ac:dyDescent="0.2">
      <c r="A159" s="6" t="str">
        <f>"0000520100"</f>
        <v>0000520100</v>
      </c>
      <c r="B159" s="6" t="str">
        <f>"112204"</f>
        <v>112204</v>
      </c>
      <c r="C159" s="6" t="s">
        <v>131</v>
      </c>
      <c r="D159" s="6" t="s">
        <v>126</v>
      </c>
      <c r="E159" s="6" t="s">
        <v>13</v>
      </c>
      <c r="F159" s="6">
        <v>98</v>
      </c>
      <c r="G159" s="6" t="s">
        <v>127</v>
      </c>
      <c r="H159" s="6" t="s">
        <v>128</v>
      </c>
      <c r="I159" s="6" t="s">
        <v>35</v>
      </c>
      <c r="J159" s="6" t="s">
        <v>20</v>
      </c>
      <c r="K159" s="7">
        <v>19.190000000000001</v>
      </c>
    </row>
    <row r="160" spans="1:11" s="4" customFormat="1" ht="10.199999999999999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7"/>
    </row>
    <row r="161" spans="1:11" s="4" customFormat="1" ht="10.199999999999999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7"/>
    </row>
    <row r="162" spans="1:11" s="4" customFormat="1" ht="10.199999999999999" x14ac:dyDescent="0.2">
      <c r="A162" s="6" t="str">
        <f>"0000540100"</f>
        <v>0000540100</v>
      </c>
      <c r="B162" s="6" t="str">
        <f>"017806"</f>
        <v>017806</v>
      </c>
      <c r="C162" s="6" t="s">
        <v>125</v>
      </c>
      <c r="D162" s="6" t="s">
        <v>132</v>
      </c>
      <c r="E162" s="6" t="s">
        <v>13</v>
      </c>
      <c r="F162" s="6">
        <v>98</v>
      </c>
      <c r="G162" s="6" t="s">
        <v>127</v>
      </c>
      <c r="H162" s="6" t="s">
        <v>128</v>
      </c>
      <c r="I162" s="6" t="s">
        <v>129</v>
      </c>
      <c r="J162" s="6" t="s">
        <v>17</v>
      </c>
      <c r="K162" s="7">
        <v>49.57</v>
      </c>
    </row>
    <row r="163" spans="1:11" s="4" customFormat="1" ht="10.199999999999999" x14ac:dyDescent="0.2">
      <c r="A163" s="6" t="str">
        <f>"0000540100"</f>
        <v>0000540100</v>
      </c>
      <c r="B163" s="6" t="str">
        <f>"031505"</f>
        <v>031505</v>
      </c>
      <c r="C163" s="6" t="s">
        <v>130</v>
      </c>
      <c r="D163" s="6" t="s">
        <v>132</v>
      </c>
      <c r="E163" s="6" t="s">
        <v>13</v>
      </c>
      <c r="F163" s="6">
        <v>98</v>
      </c>
      <c r="G163" s="6" t="s">
        <v>127</v>
      </c>
      <c r="H163" s="6" t="s">
        <v>128</v>
      </c>
      <c r="I163" s="6" t="s">
        <v>65</v>
      </c>
      <c r="J163" s="6" t="s">
        <v>20</v>
      </c>
      <c r="K163" s="7">
        <v>29.74</v>
      </c>
    </row>
    <row r="164" spans="1:11" s="4" customFormat="1" ht="10.199999999999999" x14ac:dyDescent="0.2">
      <c r="A164" s="6" t="str">
        <f>"0000540100"</f>
        <v>0000540100</v>
      </c>
      <c r="B164" s="6" t="str">
        <f>"112213"</f>
        <v>112213</v>
      </c>
      <c r="C164" s="6" t="s">
        <v>131</v>
      </c>
      <c r="D164" s="6" t="s">
        <v>132</v>
      </c>
      <c r="E164" s="6" t="s">
        <v>13</v>
      </c>
      <c r="F164" s="6">
        <v>98</v>
      </c>
      <c r="G164" s="6" t="s">
        <v>127</v>
      </c>
      <c r="H164" s="6" t="s">
        <v>128</v>
      </c>
      <c r="I164" s="6" t="s">
        <v>35</v>
      </c>
      <c r="J164" s="6" t="s">
        <v>20</v>
      </c>
      <c r="K164" s="7">
        <v>29.74</v>
      </c>
    </row>
    <row r="165" spans="1:11" s="4" customFormat="1" ht="10.199999999999999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7"/>
    </row>
    <row r="166" spans="1:11" s="4" customFormat="1" ht="10.199999999999999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7"/>
    </row>
    <row r="167" spans="1:11" s="4" customFormat="1" ht="10.199999999999999" x14ac:dyDescent="0.2">
      <c r="A167" s="6" t="str">
        <f>"0007380030"</f>
        <v>0007380030</v>
      </c>
      <c r="B167" s="6" t="str">
        <f>"096685"</f>
        <v>096685</v>
      </c>
      <c r="C167" s="6" t="s">
        <v>133</v>
      </c>
      <c r="D167" s="6" t="s">
        <v>134</v>
      </c>
      <c r="E167" s="6" t="s">
        <v>135</v>
      </c>
      <c r="F167" s="6">
        <v>30</v>
      </c>
      <c r="G167" s="6" t="s">
        <v>136</v>
      </c>
      <c r="H167" s="6" t="s">
        <v>137</v>
      </c>
      <c r="I167" s="6" t="s">
        <v>138</v>
      </c>
      <c r="J167" s="6" t="s">
        <v>17</v>
      </c>
      <c r="K167" s="7">
        <v>6.41</v>
      </c>
    </row>
    <row r="168" spans="1:11" s="4" customFormat="1" ht="20.399999999999999" x14ac:dyDescent="0.2">
      <c r="A168" s="6" t="str">
        <f>"0007380030"</f>
        <v>0007380030</v>
      </c>
      <c r="B168" s="6" t="str">
        <f>"154353"</f>
        <v>154353</v>
      </c>
      <c r="C168" s="6" t="s">
        <v>139</v>
      </c>
      <c r="D168" s="6" t="s">
        <v>134</v>
      </c>
      <c r="E168" s="6" t="s">
        <v>135</v>
      </c>
      <c r="F168" s="6">
        <v>30</v>
      </c>
      <c r="G168" s="6" t="s">
        <v>136</v>
      </c>
      <c r="H168" s="6" t="s">
        <v>137</v>
      </c>
      <c r="I168" s="6" t="s">
        <v>124</v>
      </c>
      <c r="J168" s="6" t="s">
        <v>20</v>
      </c>
      <c r="K168" s="7">
        <v>3.85</v>
      </c>
    </row>
    <row r="169" spans="1:11" s="4" customFormat="1" ht="10.199999999999999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7"/>
    </row>
    <row r="170" spans="1:11" s="4" customFormat="1" ht="10.199999999999999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7"/>
    </row>
    <row r="171" spans="1:11" s="4" customFormat="1" ht="10.199999999999999" x14ac:dyDescent="0.2">
      <c r="A171" s="6" t="str">
        <f>"0007380090"</f>
        <v>0007380090</v>
      </c>
      <c r="B171" s="6" t="str">
        <f>"006068"</f>
        <v>006068</v>
      </c>
      <c r="C171" s="6" t="s">
        <v>133</v>
      </c>
      <c r="D171" s="6" t="s">
        <v>134</v>
      </c>
      <c r="E171" s="6" t="s">
        <v>135</v>
      </c>
      <c r="F171" s="6">
        <v>90</v>
      </c>
      <c r="G171" s="6" t="s">
        <v>136</v>
      </c>
      <c r="H171" s="6" t="s">
        <v>137</v>
      </c>
      <c r="I171" s="6" t="s">
        <v>138</v>
      </c>
      <c r="J171" s="6" t="s">
        <v>17</v>
      </c>
      <c r="K171" s="7">
        <v>17.510000000000002</v>
      </c>
    </row>
    <row r="172" spans="1:11" s="4" customFormat="1" ht="20.399999999999999" x14ac:dyDescent="0.2">
      <c r="A172" s="6" t="str">
        <f>"0007380090"</f>
        <v>0007380090</v>
      </c>
      <c r="B172" s="6" t="str">
        <f>"154375"</f>
        <v>154375</v>
      </c>
      <c r="C172" s="6" t="s">
        <v>139</v>
      </c>
      <c r="D172" s="6" t="s">
        <v>134</v>
      </c>
      <c r="E172" s="6" t="s">
        <v>135</v>
      </c>
      <c r="F172" s="6">
        <v>90</v>
      </c>
      <c r="G172" s="6" t="s">
        <v>136</v>
      </c>
      <c r="H172" s="6" t="s">
        <v>137</v>
      </c>
      <c r="I172" s="6" t="s">
        <v>124</v>
      </c>
      <c r="J172" s="6" t="s">
        <v>20</v>
      </c>
      <c r="K172" s="7">
        <v>10.51</v>
      </c>
    </row>
    <row r="173" spans="1:11" s="4" customFormat="1" ht="10.199999999999999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7"/>
    </row>
    <row r="174" spans="1:11" s="4" customFormat="1" ht="10.199999999999999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7"/>
    </row>
    <row r="175" spans="1:11" s="4" customFormat="1" ht="10.199999999999999" x14ac:dyDescent="0.2">
      <c r="A175" s="6" t="str">
        <f>"0000630100"</f>
        <v>0000630100</v>
      </c>
      <c r="B175" s="6" t="str">
        <f>"543330"</f>
        <v>543330</v>
      </c>
      <c r="C175" s="6" t="s">
        <v>140</v>
      </c>
      <c r="D175" s="6" t="s">
        <v>39</v>
      </c>
      <c r="E175" s="6" t="s">
        <v>82</v>
      </c>
      <c r="F175" s="6">
        <v>98</v>
      </c>
      <c r="G175" s="6" t="s">
        <v>141</v>
      </c>
      <c r="H175" s="6" t="s">
        <v>142</v>
      </c>
      <c r="I175" s="6" t="s">
        <v>63</v>
      </c>
      <c r="J175" s="6" t="s">
        <v>17</v>
      </c>
      <c r="K175" s="7">
        <v>14.16</v>
      </c>
    </row>
    <row r="176" spans="1:11" s="4" customFormat="1" ht="10.199999999999999" x14ac:dyDescent="0.2">
      <c r="A176" s="6" t="str">
        <f>"0000630100"</f>
        <v>0000630100</v>
      </c>
      <c r="B176" s="6" t="str">
        <f>"174227"</f>
        <v>174227</v>
      </c>
      <c r="C176" s="6" t="s">
        <v>143</v>
      </c>
      <c r="D176" s="6" t="s">
        <v>39</v>
      </c>
      <c r="E176" s="6" t="s">
        <v>82</v>
      </c>
      <c r="F176" s="6">
        <v>100</v>
      </c>
      <c r="G176" s="6" t="s">
        <v>141</v>
      </c>
      <c r="H176" s="6" t="s">
        <v>142</v>
      </c>
      <c r="I176" s="6" t="s">
        <v>144</v>
      </c>
      <c r="J176" s="6" t="s">
        <v>20</v>
      </c>
      <c r="K176" s="7">
        <v>14.16</v>
      </c>
    </row>
    <row r="177" spans="1:11" s="4" customFormat="1" ht="10.199999999999999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7"/>
    </row>
    <row r="178" spans="1:11" s="4" customFormat="1" ht="10.199999999999999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1:11" s="4" customFormat="1" ht="10.199999999999999" x14ac:dyDescent="0.2">
      <c r="A179" s="6" t="str">
        <f>"0007450030"</f>
        <v>0007450030</v>
      </c>
      <c r="B179" s="6" t="str">
        <f>"472084"</f>
        <v>472084</v>
      </c>
      <c r="C179" s="6" t="s">
        <v>145</v>
      </c>
      <c r="D179" s="6" t="s">
        <v>146</v>
      </c>
      <c r="E179" s="6" t="s">
        <v>135</v>
      </c>
      <c r="F179" s="6">
        <v>28</v>
      </c>
      <c r="G179" s="6" t="s">
        <v>147</v>
      </c>
      <c r="H179" s="6" t="s">
        <v>148</v>
      </c>
      <c r="I179" s="6" t="s">
        <v>49</v>
      </c>
      <c r="J179" s="6" t="s">
        <v>17</v>
      </c>
      <c r="K179" s="7">
        <v>4.08</v>
      </c>
    </row>
    <row r="180" spans="1:11" s="4" customFormat="1" ht="10.199999999999999" x14ac:dyDescent="0.2">
      <c r="A180" s="6" t="str">
        <f>"0007450030"</f>
        <v>0007450030</v>
      </c>
      <c r="B180" s="6" t="str">
        <f>"021888"</f>
        <v>021888</v>
      </c>
      <c r="C180" s="6" t="s">
        <v>149</v>
      </c>
      <c r="D180" s="6" t="s">
        <v>146</v>
      </c>
      <c r="E180" s="6" t="s">
        <v>135</v>
      </c>
      <c r="F180" s="6">
        <v>30</v>
      </c>
      <c r="G180" s="6" t="s">
        <v>147</v>
      </c>
      <c r="H180" s="6" t="s">
        <v>148</v>
      </c>
      <c r="I180" s="6" t="s">
        <v>150</v>
      </c>
      <c r="J180" s="6" t="s">
        <v>20</v>
      </c>
      <c r="K180" s="7">
        <v>3.93</v>
      </c>
    </row>
    <row r="181" spans="1:11" s="4" customFormat="1" ht="10.199999999999999" x14ac:dyDescent="0.2">
      <c r="A181" s="6" t="str">
        <f>"0007450030"</f>
        <v>0007450030</v>
      </c>
      <c r="B181" s="6" t="str">
        <f>"035516"</f>
        <v>035516</v>
      </c>
      <c r="C181" s="6" t="s">
        <v>151</v>
      </c>
      <c r="D181" s="6" t="s">
        <v>146</v>
      </c>
      <c r="E181" s="6" t="s">
        <v>135</v>
      </c>
      <c r="F181" s="6">
        <v>30</v>
      </c>
      <c r="G181" s="6" t="s">
        <v>147</v>
      </c>
      <c r="H181" s="6" t="s">
        <v>148</v>
      </c>
      <c r="I181" s="6" t="s">
        <v>19</v>
      </c>
      <c r="J181" s="6" t="s">
        <v>20</v>
      </c>
      <c r="K181" s="7">
        <v>3.93</v>
      </c>
    </row>
    <row r="182" spans="1:11" s="4" customFormat="1" ht="20.399999999999999" x14ac:dyDescent="0.2">
      <c r="A182" s="6" t="str">
        <f>"0007450030"</f>
        <v>0007450030</v>
      </c>
      <c r="B182" s="6" t="str">
        <f>"070372"</f>
        <v>070372</v>
      </c>
      <c r="C182" s="6" t="s">
        <v>152</v>
      </c>
      <c r="D182" s="6" t="s">
        <v>146</v>
      </c>
      <c r="E182" s="6" t="s">
        <v>135</v>
      </c>
      <c r="F182" s="6">
        <v>30</v>
      </c>
      <c r="G182" s="6" t="s">
        <v>147</v>
      </c>
      <c r="H182" s="6" t="s">
        <v>148</v>
      </c>
      <c r="I182" s="6" t="s">
        <v>124</v>
      </c>
      <c r="J182" s="6" t="s">
        <v>20</v>
      </c>
      <c r="K182" s="7">
        <v>3.93</v>
      </c>
    </row>
    <row r="183" spans="1:11" s="4" customFormat="1" ht="10.199999999999999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7"/>
    </row>
    <row r="184" spans="1:11" s="4" customFormat="1" ht="10.199999999999999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7"/>
    </row>
    <row r="185" spans="1:11" s="4" customFormat="1" ht="10.199999999999999" x14ac:dyDescent="0.2">
      <c r="A185" s="6" t="str">
        <f>"0007460100"</f>
        <v>0007460100</v>
      </c>
      <c r="B185" s="6" t="str">
        <f>"422121"</f>
        <v>422121</v>
      </c>
      <c r="C185" s="6" t="s">
        <v>153</v>
      </c>
      <c r="D185" s="6" t="s">
        <v>154</v>
      </c>
      <c r="E185" s="6" t="s">
        <v>82</v>
      </c>
      <c r="F185" s="6">
        <v>100</v>
      </c>
      <c r="G185" s="6" t="s">
        <v>147</v>
      </c>
      <c r="H185" s="6" t="s">
        <v>148</v>
      </c>
      <c r="I185" s="6" t="s">
        <v>49</v>
      </c>
      <c r="J185" s="6" t="s">
        <v>17</v>
      </c>
      <c r="K185" s="7">
        <v>8.02</v>
      </c>
    </row>
    <row r="186" spans="1:11" s="4" customFormat="1" ht="10.199999999999999" x14ac:dyDescent="0.2">
      <c r="A186" s="6" t="str">
        <f>"0007460100"</f>
        <v>0007460100</v>
      </c>
      <c r="B186" s="6" t="str">
        <f>"025239"</f>
        <v>025239</v>
      </c>
      <c r="C186" s="6" t="s">
        <v>155</v>
      </c>
      <c r="D186" s="6" t="s">
        <v>154</v>
      </c>
      <c r="E186" s="6" t="s">
        <v>82</v>
      </c>
      <c r="F186" s="6">
        <v>100</v>
      </c>
      <c r="G186" s="6" t="s">
        <v>147</v>
      </c>
      <c r="H186" s="6" t="s">
        <v>148</v>
      </c>
      <c r="I186" s="6" t="s">
        <v>19</v>
      </c>
      <c r="J186" s="6" t="s">
        <v>20</v>
      </c>
      <c r="K186" s="7">
        <v>6.27</v>
      </c>
    </row>
    <row r="187" spans="1:11" s="4" customFormat="1" ht="10.199999999999999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7"/>
    </row>
    <row r="188" spans="1:11" s="4" customFormat="1" ht="10.199999999999999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7"/>
    </row>
    <row r="189" spans="1:11" s="4" customFormat="1" ht="10.199999999999999" x14ac:dyDescent="0.2">
      <c r="A189" s="6" t="str">
        <f>"0000790030"</f>
        <v>0000790030</v>
      </c>
      <c r="B189" s="6" t="str">
        <f>"016941"</f>
        <v>016941</v>
      </c>
      <c r="C189" s="6" t="s">
        <v>156</v>
      </c>
      <c r="D189" s="6" t="s">
        <v>157</v>
      </c>
      <c r="E189" s="6" t="s">
        <v>13</v>
      </c>
      <c r="F189" s="6">
        <v>30</v>
      </c>
      <c r="G189" s="6" t="s">
        <v>158</v>
      </c>
      <c r="H189" s="6" t="s">
        <v>159</v>
      </c>
      <c r="I189" s="6" t="s">
        <v>160</v>
      </c>
      <c r="J189" s="6" t="s">
        <v>17</v>
      </c>
      <c r="K189" s="7">
        <v>2.38</v>
      </c>
    </row>
    <row r="190" spans="1:11" s="4" customFormat="1" ht="10.199999999999999" x14ac:dyDescent="0.2">
      <c r="A190" s="6" t="str">
        <f>"0000790030"</f>
        <v>0000790030</v>
      </c>
      <c r="B190" s="6" t="str">
        <f>"064722"</f>
        <v>064722</v>
      </c>
      <c r="C190" s="6" t="s">
        <v>161</v>
      </c>
      <c r="D190" s="6" t="s">
        <v>157</v>
      </c>
      <c r="E190" s="6" t="s">
        <v>13</v>
      </c>
      <c r="F190" s="6">
        <v>30</v>
      </c>
      <c r="G190" s="6" t="s">
        <v>158</v>
      </c>
      <c r="H190" s="6" t="s">
        <v>159</v>
      </c>
      <c r="I190" s="6" t="s">
        <v>28</v>
      </c>
      <c r="J190" s="6" t="s">
        <v>20</v>
      </c>
      <c r="K190" s="7">
        <v>1.43</v>
      </c>
    </row>
    <row r="191" spans="1:11" s="4" customFormat="1" ht="10.199999999999999" x14ac:dyDescent="0.2">
      <c r="A191" s="6" t="str">
        <f>"0000790030"</f>
        <v>0000790030</v>
      </c>
      <c r="B191" s="6" t="str">
        <f>"079734"</f>
        <v>079734</v>
      </c>
      <c r="C191" s="6" t="s">
        <v>162</v>
      </c>
      <c r="D191" s="6" t="s">
        <v>157</v>
      </c>
      <c r="E191" s="6" t="s">
        <v>82</v>
      </c>
      <c r="F191" s="6">
        <v>30</v>
      </c>
      <c r="G191" s="6" t="s">
        <v>158</v>
      </c>
      <c r="H191" s="6" t="s">
        <v>159</v>
      </c>
      <c r="I191" s="6" t="s">
        <v>19</v>
      </c>
      <c r="J191" s="6" t="s">
        <v>20</v>
      </c>
      <c r="K191" s="7">
        <v>1.43</v>
      </c>
    </row>
    <row r="192" spans="1:11" s="4" customFormat="1" ht="20.399999999999999" x14ac:dyDescent="0.2">
      <c r="A192" s="6" t="str">
        <f>"0000790030"</f>
        <v>0000790030</v>
      </c>
      <c r="B192" s="6" t="str">
        <f>"107239"</f>
        <v>107239</v>
      </c>
      <c r="C192" s="6" t="s">
        <v>163</v>
      </c>
      <c r="D192" s="6" t="s">
        <v>157</v>
      </c>
      <c r="E192" s="6" t="s">
        <v>82</v>
      </c>
      <c r="F192" s="6">
        <v>30</v>
      </c>
      <c r="G192" s="6" t="s">
        <v>158</v>
      </c>
      <c r="H192" s="6" t="s">
        <v>159</v>
      </c>
      <c r="I192" s="6" t="s">
        <v>124</v>
      </c>
      <c r="J192" s="6" t="s">
        <v>20</v>
      </c>
      <c r="K192" s="7">
        <v>1.43</v>
      </c>
    </row>
    <row r="193" spans="1:11" s="4" customFormat="1" ht="10.199999999999999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7"/>
    </row>
    <row r="194" spans="1:11" s="4" customFormat="1" ht="10.199999999999999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1:11" s="4" customFormat="1" ht="10.199999999999999" x14ac:dyDescent="0.2">
      <c r="A195" s="6" t="str">
        <f>"0000790100"</f>
        <v>0000790100</v>
      </c>
      <c r="B195" s="6" t="str">
        <f>"016919"</f>
        <v>016919</v>
      </c>
      <c r="C195" s="6" t="s">
        <v>156</v>
      </c>
      <c r="D195" s="6" t="s">
        <v>157</v>
      </c>
      <c r="E195" s="6" t="s">
        <v>13</v>
      </c>
      <c r="F195" s="6">
        <v>100</v>
      </c>
      <c r="G195" s="6" t="s">
        <v>158</v>
      </c>
      <c r="H195" s="6" t="s">
        <v>159</v>
      </c>
      <c r="I195" s="6" t="s">
        <v>160</v>
      </c>
      <c r="J195" s="6" t="s">
        <v>17</v>
      </c>
      <c r="K195" s="7">
        <v>7.22</v>
      </c>
    </row>
    <row r="196" spans="1:11" s="4" customFormat="1" ht="10.199999999999999" x14ac:dyDescent="0.2">
      <c r="A196" s="6" t="str">
        <f>"0000790100"</f>
        <v>0000790100</v>
      </c>
      <c r="B196" s="6" t="str">
        <f>"079745"</f>
        <v>079745</v>
      </c>
      <c r="C196" s="6" t="s">
        <v>162</v>
      </c>
      <c r="D196" s="6" t="s">
        <v>157</v>
      </c>
      <c r="E196" s="6" t="s">
        <v>82</v>
      </c>
      <c r="F196" s="6">
        <v>100</v>
      </c>
      <c r="G196" s="6" t="s">
        <v>158</v>
      </c>
      <c r="H196" s="6" t="s">
        <v>159</v>
      </c>
      <c r="I196" s="6" t="s">
        <v>19</v>
      </c>
      <c r="J196" s="6" t="s">
        <v>20</v>
      </c>
      <c r="K196" s="7">
        <v>4.33</v>
      </c>
    </row>
    <row r="197" spans="1:11" s="4" customFormat="1" ht="10.199999999999999" x14ac:dyDescent="0.2">
      <c r="A197" s="6" t="str">
        <f>"0000790100"</f>
        <v>0000790100</v>
      </c>
      <c r="B197" s="6" t="str">
        <f>"090545"</f>
        <v>090545</v>
      </c>
      <c r="C197" s="6" t="s">
        <v>164</v>
      </c>
      <c r="D197" s="6" t="s">
        <v>157</v>
      </c>
      <c r="E197" s="6" t="s">
        <v>82</v>
      </c>
      <c r="F197" s="6">
        <v>100</v>
      </c>
      <c r="G197" s="6" t="s">
        <v>158</v>
      </c>
      <c r="H197" s="6" t="s">
        <v>159</v>
      </c>
      <c r="I197" s="6" t="s">
        <v>35</v>
      </c>
      <c r="J197" s="6" t="s">
        <v>20</v>
      </c>
      <c r="K197" s="7">
        <v>4.33</v>
      </c>
    </row>
    <row r="198" spans="1:11" s="4" customFormat="1" ht="10.199999999999999" x14ac:dyDescent="0.2">
      <c r="A198" s="6" t="str">
        <f>"0000790100"</f>
        <v>0000790100</v>
      </c>
      <c r="B198" s="6" t="str">
        <f>"106452"</f>
        <v>106452</v>
      </c>
      <c r="C198" s="6" t="s">
        <v>161</v>
      </c>
      <c r="D198" s="6" t="s">
        <v>157</v>
      </c>
      <c r="E198" s="6" t="s">
        <v>13</v>
      </c>
      <c r="F198" s="6">
        <v>100</v>
      </c>
      <c r="G198" s="6" t="s">
        <v>158</v>
      </c>
      <c r="H198" s="6" t="s">
        <v>159</v>
      </c>
      <c r="I198" s="6" t="s">
        <v>28</v>
      </c>
      <c r="J198" s="6" t="s">
        <v>20</v>
      </c>
      <c r="K198" s="7">
        <v>4.33</v>
      </c>
    </row>
    <row r="199" spans="1:11" s="4" customFormat="1" ht="20.399999999999999" x14ac:dyDescent="0.2">
      <c r="A199" s="6" t="str">
        <f>"0000790100"</f>
        <v>0000790100</v>
      </c>
      <c r="B199" s="6" t="str">
        <f>"584609"</f>
        <v>584609</v>
      </c>
      <c r="C199" s="6" t="s">
        <v>163</v>
      </c>
      <c r="D199" s="6" t="s">
        <v>157</v>
      </c>
      <c r="E199" s="6" t="s">
        <v>82</v>
      </c>
      <c r="F199" s="6">
        <v>100</v>
      </c>
      <c r="G199" s="6" t="s">
        <v>158</v>
      </c>
      <c r="H199" s="6" t="s">
        <v>159</v>
      </c>
      <c r="I199" s="6" t="s">
        <v>124</v>
      </c>
      <c r="J199" s="6" t="s">
        <v>20</v>
      </c>
      <c r="K199" s="7">
        <v>4.33</v>
      </c>
    </row>
    <row r="200" spans="1:11" s="4" customFormat="1" ht="10.199999999999999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7"/>
    </row>
    <row r="201" spans="1:11" s="4" customFormat="1" ht="10.199999999999999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7"/>
    </row>
    <row r="202" spans="1:11" s="4" customFormat="1" ht="10.199999999999999" x14ac:dyDescent="0.2">
      <c r="A202" s="6" t="str">
        <f>"0000830100"</f>
        <v>0000830100</v>
      </c>
      <c r="B202" s="6" t="str">
        <f>"540385"</f>
        <v>540385</v>
      </c>
      <c r="C202" s="6" t="s">
        <v>165</v>
      </c>
      <c r="D202" s="6" t="s">
        <v>166</v>
      </c>
      <c r="E202" s="6" t="s">
        <v>13</v>
      </c>
      <c r="F202" s="6">
        <v>100</v>
      </c>
      <c r="G202" s="6" t="s">
        <v>167</v>
      </c>
      <c r="H202" s="6" t="s">
        <v>168</v>
      </c>
      <c r="I202" s="6" t="s">
        <v>169</v>
      </c>
      <c r="J202" s="6" t="s">
        <v>17</v>
      </c>
      <c r="K202" s="7">
        <v>35.479999999999997</v>
      </c>
    </row>
    <row r="203" spans="1:11" s="4" customFormat="1" ht="10.199999999999999" x14ac:dyDescent="0.2">
      <c r="A203" s="6" t="str">
        <f>"0000830100"</f>
        <v>0000830100</v>
      </c>
      <c r="B203" s="6" t="str">
        <f>"102358"</f>
        <v>102358</v>
      </c>
      <c r="C203" s="6" t="s">
        <v>170</v>
      </c>
      <c r="D203" s="6" t="s">
        <v>166</v>
      </c>
      <c r="E203" s="6" t="s">
        <v>13</v>
      </c>
      <c r="F203" s="6">
        <v>100</v>
      </c>
      <c r="G203" s="6" t="s">
        <v>167</v>
      </c>
      <c r="H203" s="6" t="s">
        <v>168</v>
      </c>
      <c r="I203" s="6" t="s">
        <v>171</v>
      </c>
      <c r="J203" s="6" t="s">
        <v>20</v>
      </c>
      <c r="K203" s="7">
        <v>28.31</v>
      </c>
    </row>
    <row r="204" spans="1:11" s="4" customFormat="1" ht="10.199999999999999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7"/>
    </row>
    <row r="205" spans="1:11" s="4" customFormat="1" ht="10.199999999999999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7"/>
    </row>
    <row r="206" spans="1:11" s="4" customFormat="1" ht="10.199999999999999" x14ac:dyDescent="0.2">
      <c r="A206" s="6" t="str">
        <f>"0011780100"</f>
        <v>0011780100</v>
      </c>
      <c r="B206" s="6" t="str">
        <f>"185835"</f>
        <v>185835</v>
      </c>
      <c r="C206" s="6" t="s">
        <v>165</v>
      </c>
      <c r="D206" s="6" t="s">
        <v>172</v>
      </c>
      <c r="E206" s="6" t="s">
        <v>13</v>
      </c>
      <c r="F206" s="6">
        <v>100</v>
      </c>
      <c r="G206" s="6" t="s">
        <v>167</v>
      </c>
      <c r="H206" s="6" t="s">
        <v>168</v>
      </c>
      <c r="I206" s="6" t="s">
        <v>169</v>
      </c>
      <c r="J206" s="6" t="s">
        <v>17</v>
      </c>
      <c r="K206" s="7">
        <v>50.91</v>
      </c>
    </row>
    <row r="207" spans="1:11" s="4" customFormat="1" ht="10.199999999999999" x14ac:dyDescent="0.2">
      <c r="A207" s="6" t="str">
        <f>"0011780100"</f>
        <v>0011780100</v>
      </c>
      <c r="B207" s="6" t="str">
        <f>"102370"</f>
        <v>102370</v>
      </c>
      <c r="C207" s="6" t="s">
        <v>170</v>
      </c>
      <c r="D207" s="6" t="s">
        <v>172</v>
      </c>
      <c r="E207" s="6" t="s">
        <v>13</v>
      </c>
      <c r="F207" s="6">
        <v>100</v>
      </c>
      <c r="G207" s="6" t="s">
        <v>167</v>
      </c>
      <c r="H207" s="6" t="s">
        <v>168</v>
      </c>
      <c r="I207" s="6" t="s">
        <v>171</v>
      </c>
      <c r="J207" s="6" t="s">
        <v>20</v>
      </c>
      <c r="K207" s="7">
        <v>30.55</v>
      </c>
    </row>
    <row r="208" spans="1:11" s="4" customFormat="1" ht="10.199999999999999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7"/>
    </row>
    <row r="209" spans="1:11" s="4" customFormat="1" ht="10.199999999999999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7"/>
    </row>
    <row r="210" spans="1:11" s="4" customFormat="1" ht="20.399999999999999" x14ac:dyDescent="0.2">
      <c r="A210" s="6" t="str">
        <f>"0005110030"</f>
        <v>0005110030</v>
      </c>
      <c r="B210" s="6" t="str">
        <f>"020058"</f>
        <v>020058</v>
      </c>
      <c r="C210" s="6" t="s">
        <v>173</v>
      </c>
      <c r="D210" s="6" t="s">
        <v>174</v>
      </c>
      <c r="E210" s="6" t="s">
        <v>82</v>
      </c>
      <c r="F210" s="6">
        <v>30</v>
      </c>
      <c r="G210" s="6" t="s">
        <v>175</v>
      </c>
      <c r="H210" s="6" t="s">
        <v>176</v>
      </c>
      <c r="I210" s="6" t="s">
        <v>177</v>
      </c>
      <c r="J210" s="6" t="s">
        <v>17</v>
      </c>
      <c r="K210" s="7">
        <v>7.41</v>
      </c>
    </row>
    <row r="211" spans="1:11" s="4" customFormat="1" ht="20.399999999999999" x14ac:dyDescent="0.2">
      <c r="A211" s="6" t="str">
        <f>"0005110030"</f>
        <v>0005110030</v>
      </c>
      <c r="B211" s="6" t="str">
        <f>"551921"</f>
        <v>551921</v>
      </c>
      <c r="C211" s="6" t="s">
        <v>178</v>
      </c>
      <c r="D211" s="6" t="s">
        <v>174</v>
      </c>
      <c r="E211" s="6" t="s">
        <v>82</v>
      </c>
      <c r="F211" s="6">
        <v>30</v>
      </c>
      <c r="G211" s="6" t="s">
        <v>175</v>
      </c>
      <c r="H211" s="6" t="s">
        <v>176</v>
      </c>
      <c r="I211" s="6" t="s">
        <v>124</v>
      </c>
      <c r="J211" s="6" t="s">
        <v>20</v>
      </c>
      <c r="K211" s="7">
        <v>4.45</v>
      </c>
    </row>
    <row r="212" spans="1:11" s="4" customFormat="1" ht="10.199999999999999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7"/>
    </row>
    <row r="213" spans="1:11" s="4" customFormat="1" ht="10.199999999999999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7"/>
    </row>
    <row r="214" spans="1:11" s="4" customFormat="1" ht="20.399999999999999" x14ac:dyDescent="0.2">
      <c r="A214" s="6" t="str">
        <f>"0005110100"</f>
        <v>0005110100</v>
      </c>
      <c r="B214" s="6" t="str">
        <f>"023454"</f>
        <v>023454</v>
      </c>
      <c r="C214" s="6" t="s">
        <v>173</v>
      </c>
      <c r="D214" s="6" t="s">
        <v>174</v>
      </c>
      <c r="E214" s="6" t="s">
        <v>82</v>
      </c>
      <c r="F214" s="6">
        <v>100</v>
      </c>
      <c r="G214" s="6" t="s">
        <v>175</v>
      </c>
      <c r="H214" s="6" t="s">
        <v>176</v>
      </c>
      <c r="I214" s="6" t="s">
        <v>177</v>
      </c>
      <c r="J214" s="6" t="s">
        <v>17</v>
      </c>
      <c r="K214" s="7">
        <v>23.75</v>
      </c>
    </row>
    <row r="215" spans="1:11" s="4" customFormat="1" ht="20.399999999999999" x14ac:dyDescent="0.2">
      <c r="A215" s="6" t="str">
        <f>"0005110100"</f>
        <v>0005110100</v>
      </c>
      <c r="B215" s="6" t="str">
        <f>"163622"</f>
        <v>163622</v>
      </c>
      <c r="C215" s="6" t="s">
        <v>178</v>
      </c>
      <c r="D215" s="6" t="s">
        <v>174</v>
      </c>
      <c r="E215" s="6" t="s">
        <v>82</v>
      </c>
      <c r="F215" s="6">
        <v>100</v>
      </c>
      <c r="G215" s="6" t="s">
        <v>175</v>
      </c>
      <c r="H215" s="6" t="s">
        <v>176</v>
      </c>
      <c r="I215" s="6" t="s">
        <v>124</v>
      </c>
      <c r="J215" s="6" t="s">
        <v>20</v>
      </c>
      <c r="K215" s="7">
        <v>14.25</v>
      </c>
    </row>
    <row r="216" spans="1:11" s="4" customFormat="1" ht="10.199999999999999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1:11" s="4" customFormat="1" ht="10.199999999999999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7"/>
    </row>
    <row r="218" spans="1:11" s="4" customFormat="1" ht="10.199999999999999" x14ac:dyDescent="0.2">
      <c r="A218" s="6" t="str">
        <f>"0004650100"</f>
        <v>0004650100</v>
      </c>
      <c r="B218" s="6" t="str">
        <f>"471441"</f>
        <v>471441</v>
      </c>
      <c r="C218" s="6" t="s">
        <v>179</v>
      </c>
      <c r="D218" s="6" t="s">
        <v>174</v>
      </c>
      <c r="E218" s="6" t="s">
        <v>135</v>
      </c>
      <c r="F218" s="6">
        <v>98</v>
      </c>
      <c r="G218" s="6" t="s">
        <v>180</v>
      </c>
      <c r="H218" s="6" t="s">
        <v>181</v>
      </c>
      <c r="I218" s="6" t="s">
        <v>49</v>
      </c>
      <c r="J218" s="6" t="s">
        <v>17</v>
      </c>
      <c r="K218" s="7">
        <v>33.520000000000003</v>
      </c>
    </row>
    <row r="219" spans="1:11" s="4" customFormat="1" ht="10.199999999999999" x14ac:dyDescent="0.2">
      <c r="A219" s="6" t="str">
        <f>"0004650100"</f>
        <v>0004650100</v>
      </c>
      <c r="B219" s="6" t="str">
        <f>"010947"</f>
        <v>010947</v>
      </c>
      <c r="C219" s="6" t="s">
        <v>182</v>
      </c>
      <c r="D219" s="6" t="s">
        <v>174</v>
      </c>
      <c r="E219" s="6" t="s">
        <v>135</v>
      </c>
      <c r="F219" s="6" t="s">
        <v>183</v>
      </c>
      <c r="G219" s="6" t="s">
        <v>180</v>
      </c>
      <c r="H219" s="6" t="s">
        <v>181</v>
      </c>
      <c r="I219" s="6" t="s">
        <v>19</v>
      </c>
      <c r="J219" s="6" t="s">
        <v>20</v>
      </c>
      <c r="K219" s="7">
        <v>33.14</v>
      </c>
    </row>
    <row r="220" spans="1:11" s="4" customFormat="1" ht="10.199999999999999" x14ac:dyDescent="0.2">
      <c r="A220" s="6" t="str">
        <f>"0004650100"</f>
        <v>0004650100</v>
      </c>
      <c r="B220" s="6" t="str">
        <f>"011978"</f>
        <v>011978</v>
      </c>
      <c r="C220" s="6" t="s">
        <v>184</v>
      </c>
      <c r="D220" s="6" t="s">
        <v>174</v>
      </c>
      <c r="E220" s="6" t="s">
        <v>135</v>
      </c>
      <c r="F220" s="6">
        <v>98</v>
      </c>
      <c r="G220" s="6" t="s">
        <v>180</v>
      </c>
      <c r="H220" s="6" t="s">
        <v>181</v>
      </c>
      <c r="I220" s="6" t="s">
        <v>35</v>
      </c>
      <c r="J220" s="6" t="s">
        <v>20</v>
      </c>
      <c r="K220" s="7">
        <v>33.14</v>
      </c>
    </row>
    <row r="221" spans="1:11" s="4" customFormat="1" ht="10.199999999999999" x14ac:dyDescent="0.2">
      <c r="A221" s="6" t="str">
        <f>"0004650100"</f>
        <v>0004650100</v>
      </c>
      <c r="B221" s="6" t="str">
        <f>"012109"</f>
        <v>012109</v>
      </c>
      <c r="C221" s="6" t="s">
        <v>185</v>
      </c>
      <c r="D221" s="6" t="s">
        <v>174</v>
      </c>
      <c r="E221" s="6" t="s">
        <v>135</v>
      </c>
      <c r="F221" s="6">
        <v>100</v>
      </c>
      <c r="G221" s="6" t="s">
        <v>180</v>
      </c>
      <c r="H221" s="6" t="s">
        <v>181</v>
      </c>
      <c r="I221" s="6" t="s">
        <v>150</v>
      </c>
      <c r="J221" s="6" t="s">
        <v>20</v>
      </c>
      <c r="K221" s="7">
        <v>33.14</v>
      </c>
    </row>
    <row r="222" spans="1:11" s="4" customFormat="1" ht="10.199999999999999" x14ac:dyDescent="0.2">
      <c r="A222" s="6" t="str">
        <f>"0004650100"</f>
        <v>0004650100</v>
      </c>
      <c r="B222" s="6" t="str">
        <f>"557982"</f>
        <v>557982</v>
      </c>
      <c r="C222" s="6" t="s">
        <v>182</v>
      </c>
      <c r="D222" s="6" t="s">
        <v>174</v>
      </c>
      <c r="E222" s="6" t="s">
        <v>135</v>
      </c>
      <c r="F222" s="6">
        <v>100</v>
      </c>
      <c r="G222" s="6" t="s">
        <v>180</v>
      </c>
      <c r="H222" s="6" t="s">
        <v>181</v>
      </c>
      <c r="I222" s="6" t="s">
        <v>19</v>
      </c>
      <c r="J222" s="6" t="s">
        <v>20</v>
      </c>
      <c r="K222" s="7">
        <v>33.14</v>
      </c>
    </row>
    <row r="223" spans="1:11" s="4" customFormat="1" ht="10.199999999999999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7"/>
    </row>
    <row r="224" spans="1:11" s="4" customFormat="1" ht="10.199999999999999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7"/>
    </row>
    <row r="225" spans="1:11" s="4" customFormat="1" ht="10.199999999999999" x14ac:dyDescent="0.2">
      <c r="A225" s="6" t="str">
        <f>"0007470100"</f>
        <v>0007470100</v>
      </c>
      <c r="B225" s="6" t="str">
        <f>"471466"</f>
        <v>471466</v>
      </c>
      <c r="C225" s="6" t="s">
        <v>179</v>
      </c>
      <c r="D225" s="6" t="s">
        <v>39</v>
      </c>
      <c r="E225" s="6" t="s">
        <v>135</v>
      </c>
      <c r="F225" s="6">
        <v>98</v>
      </c>
      <c r="G225" s="6" t="s">
        <v>180</v>
      </c>
      <c r="H225" s="6" t="s">
        <v>181</v>
      </c>
      <c r="I225" s="6" t="s">
        <v>49</v>
      </c>
      <c r="J225" s="6" t="s">
        <v>17</v>
      </c>
      <c r="K225" s="7">
        <v>42.83</v>
      </c>
    </row>
    <row r="226" spans="1:11" s="4" customFormat="1" ht="10.199999999999999" x14ac:dyDescent="0.2">
      <c r="A226" s="6" t="str">
        <f>"0007470100"</f>
        <v>0007470100</v>
      </c>
      <c r="B226" s="6" t="str">
        <f>"010980"</f>
        <v>010980</v>
      </c>
      <c r="C226" s="6" t="s">
        <v>182</v>
      </c>
      <c r="D226" s="6" t="s">
        <v>39</v>
      </c>
      <c r="E226" s="6" t="s">
        <v>135</v>
      </c>
      <c r="F226" s="6">
        <v>100</v>
      </c>
      <c r="G226" s="6" t="s">
        <v>180</v>
      </c>
      <c r="H226" s="6" t="s">
        <v>181</v>
      </c>
      <c r="I226" s="6" t="s">
        <v>19</v>
      </c>
      <c r="J226" s="6" t="s">
        <v>20</v>
      </c>
      <c r="K226" s="7">
        <v>41.89</v>
      </c>
    </row>
    <row r="227" spans="1:11" s="4" customFormat="1" ht="10.199999999999999" x14ac:dyDescent="0.2">
      <c r="A227" s="6" t="str">
        <f>"0007470100"</f>
        <v>0007470100</v>
      </c>
      <c r="B227" s="6" t="str">
        <f>"011960"</f>
        <v>011960</v>
      </c>
      <c r="C227" s="6" t="s">
        <v>184</v>
      </c>
      <c r="D227" s="6" t="s">
        <v>39</v>
      </c>
      <c r="E227" s="6" t="s">
        <v>135</v>
      </c>
      <c r="F227" s="6">
        <v>98</v>
      </c>
      <c r="G227" s="6" t="s">
        <v>180</v>
      </c>
      <c r="H227" s="6" t="s">
        <v>181</v>
      </c>
      <c r="I227" s="6" t="s">
        <v>35</v>
      </c>
      <c r="J227" s="6" t="s">
        <v>20</v>
      </c>
      <c r="K227" s="7">
        <v>41.89</v>
      </c>
    </row>
    <row r="228" spans="1:11" s="4" customFormat="1" ht="10.199999999999999" x14ac:dyDescent="0.2">
      <c r="A228" s="6" t="str">
        <f>"0007470100"</f>
        <v>0007470100</v>
      </c>
      <c r="B228" s="6" t="str">
        <f>"012131"</f>
        <v>012131</v>
      </c>
      <c r="C228" s="6" t="s">
        <v>185</v>
      </c>
      <c r="D228" s="6" t="s">
        <v>39</v>
      </c>
      <c r="E228" s="6" t="s">
        <v>135</v>
      </c>
      <c r="F228" s="6">
        <v>100</v>
      </c>
      <c r="G228" s="6" t="s">
        <v>180</v>
      </c>
      <c r="H228" s="6" t="s">
        <v>181</v>
      </c>
      <c r="I228" s="6" t="s">
        <v>150</v>
      </c>
      <c r="J228" s="6" t="s">
        <v>20</v>
      </c>
      <c r="K228" s="7">
        <v>41.89</v>
      </c>
    </row>
    <row r="229" spans="1:11" s="4" customFormat="1" ht="10.199999999999999" x14ac:dyDescent="0.2">
      <c r="A229" s="6" t="str">
        <f>"0007470100"</f>
        <v>0007470100</v>
      </c>
      <c r="B229" s="6" t="str">
        <f>"044573"</f>
        <v>044573</v>
      </c>
      <c r="C229" s="6" t="s">
        <v>182</v>
      </c>
      <c r="D229" s="6" t="s">
        <v>39</v>
      </c>
      <c r="E229" s="6" t="s">
        <v>135</v>
      </c>
      <c r="F229" s="6">
        <v>100</v>
      </c>
      <c r="G229" s="6" t="s">
        <v>180</v>
      </c>
      <c r="H229" s="6" t="s">
        <v>181</v>
      </c>
      <c r="I229" s="6" t="s">
        <v>19</v>
      </c>
      <c r="J229" s="6" t="s">
        <v>20</v>
      </c>
      <c r="K229" s="7">
        <v>41.89</v>
      </c>
    </row>
    <row r="230" spans="1:11" s="4" customFormat="1" ht="10.199999999999999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7"/>
    </row>
    <row r="231" spans="1:11" s="4" customFormat="1" ht="10.199999999999999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7"/>
    </row>
    <row r="232" spans="1:11" s="4" customFormat="1" ht="10.199999999999999" x14ac:dyDescent="0.2">
      <c r="A232" s="6" t="str">
        <f>"0004690100"</f>
        <v>0004690100</v>
      </c>
      <c r="B232" s="6" t="str">
        <f>"118067"</f>
        <v>118067</v>
      </c>
      <c r="C232" s="6" t="s">
        <v>186</v>
      </c>
      <c r="D232" s="6" t="s">
        <v>81</v>
      </c>
      <c r="E232" s="6" t="s">
        <v>135</v>
      </c>
      <c r="F232" s="6">
        <v>98</v>
      </c>
      <c r="G232" s="6" t="s">
        <v>187</v>
      </c>
      <c r="H232" s="6" t="s">
        <v>188</v>
      </c>
      <c r="I232" s="6" t="s">
        <v>86</v>
      </c>
      <c r="J232" s="6" t="s">
        <v>87</v>
      </c>
      <c r="K232" s="7">
        <v>45.27</v>
      </c>
    </row>
    <row r="233" spans="1:11" s="4" customFormat="1" ht="10.199999999999999" x14ac:dyDescent="0.2">
      <c r="A233" s="6" t="str">
        <f>"0004690100"</f>
        <v>0004690100</v>
      </c>
      <c r="B233" s="6" t="str">
        <f>"117796"</f>
        <v>117796</v>
      </c>
      <c r="C233" s="6" t="s">
        <v>186</v>
      </c>
      <c r="D233" s="6" t="s">
        <v>81</v>
      </c>
      <c r="E233" s="6" t="s">
        <v>135</v>
      </c>
      <c r="F233" s="6">
        <v>98</v>
      </c>
      <c r="G233" s="6" t="s">
        <v>187</v>
      </c>
      <c r="H233" s="6" t="s">
        <v>188</v>
      </c>
      <c r="I233" s="6" t="s">
        <v>189</v>
      </c>
      <c r="J233" s="6" t="s">
        <v>17</v>
      </c>
      <c r="K233" s="7">
        <v>45.2</v>
      </c>
    </row>
    <row r="234" spans="1:11" s="4" customFormat="1" ht="10.199999999999999" x14ac:dyDescent="0.2">
      <c r="A234" s="6" t="str">
        <f>"0004690100"</f>
        <v>0004690100</v>
      </c>
      <c r="B234" s="6" t="str">
        <f>"101070"</f>
        <v>101070</v>
      </c>
      <c r="C234" s="6" t="s">
        <v>190</v>
      </c>
      <c r="D234" s="6" t="s">
        <v>81</v>
      </c>
      <c r="E234" s="6" t="s">
        <v>135</v>
      </c>
      <c r="F234" s="6">
        <v>100</v>
      </c>
      <c r="G234" s="6" t="s">
        <v>187</v>
      </c>
      <c r="H234" s="6" t="s">
        <v>188</v>
      </c>
      <c r="I234" s="6" t="s">
        <v>191</v>
      </c>
      <c r="J234" s="6" t="s">
        <v>20</v>
      </c>
      <c r="K234" s="7">
        <v>45.2</v>
      </c>
    </row>
    <row r="235" spans="1:11" s="4" customFormat="1" ht="10.199999999999999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7"/>
    </row>
    <row r="236" spans="1:11" s="4" customFormat="1" ht="10.199999999999999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7"/>
    </row>
    <row r="237" spans="1:11" s="4" customFormat="1" ht="10.199999999999999" x14ac:dyDescent="0.2">
      <c r="A237" s="6" t="str">
        <f>"0004700100"</f>
        <v>0004700100</v>
      </c>
      <c r="B237" s="6" t="str">
        <f>"118083"</f>
        <v>118083</v>
      </c>
      <c r="C237" s="6" t="s">
        <v>186</v>
      </c>
      <c r="D237" s="6" t="s">
        <v>192</v>
      </c>
      <c r="E237" s="6" t="s">
        <v>135</v>
      </c>
      <c r="F237" s="6">
        <v>98</v>
      </c>
      <c r="G237" s="6" t="s">
        <v>187</v>
      </c>
      <c r="H237" s="6" t="s">
        <v>188</v>
      </c>
      <c r="I237" s="6" t="s">
        <v>86</v>
      </c>
      <c r="J237" s="6" t="s">
        <v>87</v>
      </c>
      <c r="K237" s="7">
        <v>61.47</v>
      </c>
    </row>
    <row r="238" spans="1:11" s="4" customFormat="1" ht="10.199999999999999" x14ac:dyDescent="0.2">
      <c r="A238" s="6" t="str">
        <f>"0004700100"</f>
        <v>0004700100</v>
      </c>
      <c r="B238" s="6" t="str">
        <f>"117820"</f>
        <v>117820</v>
      </c>
      <c r="C238" s="6" t="s">
        <v>186</v>
      </c>
      <c r="D238" s="6" t="s">
        <v>192</v>
      </c>
      <c r="E238" s="6" t="s">
        <v>135</v>
      </c>
      <c r="F238" s="6">
        <v>98</v>
      </c>
      <c r="G238" s="6" t="s">
        <v>187</v>
      </c>
      <c r="H238" s="6" t="s">
        <v>188</v>
      </c>
      <c r="I238" s="6" t="s">
        <v>189</v>
      </c>
      <c r="J238" s="6" t="s">
        <v>17</v>
      </c>
      <c r="K238" s="7">
        <v>61.4</v>
      </c>
    </row>
    <row r="239" spans="1:11" s="4" customFormat="1" ht="10.199999999999999" x14ac:dyDescent="0.2">
      <c r="A239" s="6" t="str">
        <f>"0004700100"</f>
        <v>0004700100</v>
      </c>
      <c r="B239" s="6" t="str">
        <f>"101047"</f>
        <v>101047</v>
      </c>
      <c r="C239" s="6" t="s">
        <v>190</v>
      </c>
      <c r="D239" s="6" t="s">
        <v>192</v>
      </c>
      <c r="E239" s="6" t="s">
        <v>135</v>
      </c>
      <c r="F239" s="6">
        <v>100</v>
      </c>
      <c r="G239" s="6" t="s">
        <v>187</v>
      </c>
      <c r="H239" s="6" t="s">
        <v>188</v>
      </c>
      <c r="I239" s="6" t="s">
        <v>191</v>
      </c>
      <c r="J239" s="6" t="s">
        <v>20</v>
      </c>
      <c r="K239" s="7">
        <v>61.47</v>
      </c>
    </row>
    <row r="240" spans="1:11" s="4" customFormat="1" ht="10.199999999999999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7"/>
    </row>
    <row r="241" spans="1:11" s="4" customFormat="1" ht="10.199999999999999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1:11" s="4" customFormat="1" ht="10.199999999999999" x14ac:dyDescent="0.2">
      <c r="A242" s="6" t="str">
        <f>"0007910030"</f>
        <v>0007910030</v>
      </c>
      <c r="B242" s="6" t="str">
        <f>"563569"</f>
        <v>563569</v>
      </c>
      <c r="C242" s="6" t="s">
        <v>193</v>
      </c>
      <c r="D242" s="6" t="s">
        <v>39</v>
      </c>
      <c r="E242" s="6" t="s">
        <v>13</v>
      </c>
      <c r="F242" s="6">
        <v>28</v>
      </c>
      <c r="G242" s="6" t="s">
        <v>194</v>
      </c>
      <c r="H242" s="6" t="s">
        <v>195</v>
      </c>
      <c r="I242" s="6" t="s">
        <v>169</v>
      </c>
      <c r="J242" s="6" t="s">
        <v>17</v>
      </c>
      <c r="K242" s="7">
        <v>10.199999999999999</v>
      </c>
    </row>
    <row r="243" spans="1:11" s="4" customFormat="1" ht="20.399999999999999" x14ac:dyDescent="0.2">
      <c r="A243" s="6" t="str">
        <f>"0007910030"</f>
        <v>0007910030</v>
      </c>
      <c r="B243" s="6" t="str">
        <f>"075845"</f>
        <v>075845</v>
      </c>
      <c r="C243" s="6" t="s">
        <v>196</v>
      </c>
      <c r="D243" s="6" t="s">
        <v>39</v>
      </c>
      <c r="E243" s="6" t="s">
        <v>13</v>
      </c>
      <c r="F243" s="6">
        <v>28</v>
      </c>
      <c r="G243" s="6" t="s">
        <v>194</v>
      </c>
      <c r="H243" s="6" t="s">
        <v>195</v>
      </c>
      <c r="I243" s="6" t="s">
        <v>124</v>
      </c>
      <c r="J243" s="6" t="s">
        <v>20</v>
      </c>
      <c r="K243" s="7">
        <v>6.12</v>
      </c>
    </row>
    <row r="244" spans="1:11" s="4" customFormat="1" ht="10.199999999999999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7"/>
    </row>
    <row r="245" spans="1:11" s="4" customFormat="1" ht="10.199999999999999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7"/>
    </row>
    <row r="246" spans="1:11" s="4" customFormat="1" ht="10.199999999999999" x14ac:dyDescent="0.2">
      <c r="A246" s="6" t="str">
        <f>"0007910100"</f>
        <v>0007910100</v>
      </c>
      <c r="B246" s="6" t="str">
        <f>"585786"</f>
        <v>585786</v>
      </c>
      <c r="C246" s="6" t="s">
        <v>193</v>
      </c>
      <c r="D246" s="6" t="s">
        <v>39</v>
      </c>
      <c r="E246" s="6" t="s">
        <v>13</v>
      </c>
      <c r="F246" s="6">
        <v>98</v>
      </c>
      <c r="G246" s="6" t="s">
        <v>194</v>
      </c>
      <c r="H246" s="6" t="s">
        <v>195</v>
      </c>
      <c r="I246" s="6" t="s">
        <v>169</v>
      </c>
      <c r="J246" s="6" t="s">
        <v>17</v>
      </c>
      <c r="K246" s="7">
        <v>32.46</v>
      </c>
    </row>
    <row r="247" spans="1:11" s="4" customFormat="1" ht="20.399999999999999" x14ac:dyDescent="0.2">
      <c r="A247" s="6" t="str">
        <f>"0007910100"</f>
        <v>0007910100</v>
      </c>
      <c r="B247" s="6" t="str">
        <f>"075856"</f>
        <v>075856</v>
      </c>
      <c r="C247" s="6" t="s">
        <v>196</v>
      </c>
      <c r="D247" s="6" t="s">
        <v>39</v>
      </c>
      <c r="E247" s="6" t="s">
        <v>13</v>
      </c>
      <c r="F247" s="6">
        <v>98</v>
      </c>
      <c r="G247" s="6" t="s">
        <v>194</v>
      </c>
      <c r="H247" s="6" t="s">
        <v>195</v>
      </c>
      <c r="I247" s="6" t="s">
        <v>124</v>
      </c>
      <c r="J247" s="6" t="s">
        <v>20</v>
      </c>
      <c r="K247" s="7">
        <v>19.48</v>
      </c>
    </row>
    <row r="248" spans="1:11" s="4" customFormat="1" ht="20.399999999999999" x14ac:dyDescent="0.2">
      <c r="A248" s="6" t="str">
        <f>"0007910100"</f>
        <v>0007910100</v>
      </c>
      <c r="B248" s="6" t="str">
        <f>"057467"</f>
        <v>057467</v>
      </c>
      <c r="C248" s="6" t="s">
        <v>197</v>
      </c>
      <c r="D248" s="6" t="s">
        <v>39</v>
      </c>
      <c r="E248" s="6" t="s">
        <v>13</v>
      </c>
      <c r="F248" s="6">
        <v>98</v>
      </c>
      <c r="G248" s="6" t="s">
        <v>194</v>
      </c>
      <c r="H248" s="6" t="s">
        <v>195</v>
      </c>
      <c r="I248" s="6" t="s">
        <v>35</v>
      </c>
      <c r="J248" s="6" t="s">
        <v>20</v>
      </c>
      <c r="K248" s="7">
        <v>17.670000000000002</v>
      </c>
    </row>
    <row r="249" spans="1:11" s="4" customFormat="1" ht="10.199999999999999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7"/>
    </row>
    <row r="250" spans="1:11" s="4" customFormat="1" ht="10.199999999999999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7"/>
    </row>
    <row r="251" spans="1:11" s="4" customFormat="1" ht="10.199999999999999" x14ac:dyDescent="0.2">
      <c r="A251" s="6" t="str">
        <f>"0008760030"</f>
        <v>0008760030</v>
      </c>
      <c r="B251" s="6" t="str">
        <f>"013399"</f>
        <v>013399</v>
      </c>
      <c r="C251" s="6" t="s">
        <v>193</v>
      </c>
      <c r="D251" s="6" t="s">
        <v>22</v>
      </c>
      <c r="E251" s="6" t="s">
        <v>13</v>
      </c>
      <c r="F251" s="6">
        <v>28</v>
      </c>
      <c r="G251" s="6" t="s">
        <v>194</v>
      </c>
      <c r="H251" s="6" t="s">
        <v>195</v>
      </c>
      <c r="I251" s="6" t="s">
        <v>169</v>
      </c>
      <c r="J251" s="6" t="s">
        <v>17</v>
      </c>
      <c r="K251" s="7">
        <v>18.52</v>
      </c>
    </row>
    <row r="252" spans="1:11" s="4" customFormat="1" ht="20.399999999999999" x14ac:dyDescent="0.2">
      <c r="A252" s="6" t="str">
        <f>"0008760030"</f>
        <v>0008760030</v>
      </c>
      <c r="B252" s="6" t="str">
        <f>"075867"</f>
        <v>075867</v>
      </c>
      <c r="C252" s="6" t="s">
        <v>196</v>
      </c>
      <c r="D252" s="6" t="s">
        <v>22</v>
      </c>
      <c r="E252" s="6" t="s">
        <v>13</v>
      </c>
      <c r="F252" s="6">
        <v>28</v>
      </c>
      <c r="G252" s="6" t="s">
        <v>194</v>
      </c>
      <c r="H252" s="6" t="s">
        <v>195</v>
      </c>
      <c r="I252" s="6" t="s">
        <v>124</v>
      </c>
      <c r="J252" s="6" t="s">
        <v>20</v>
      </c>
      <c r="K252" s="7">
        <v>11.11</v>
      </c>
    </row>
    <row r="253" spans="1:11" s="4" customFormat="1" ht="10.199999999999999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7"/>
    </row>
    <row r="254" spans="1:11" s="4" customFormat="1" ht="10.199999999999999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7"/>
    </row>
    <row r="255" spans="1:11" s="4" customFormat="1" ht="10.199999999999999" x14ac:dyDescent="0.2">
      <c r="A255" s="6" t="str">
        <f>"0008760100"</f>
        <v>0008760100</v>
      </c>
      <c r="B255" s="6" t="str">
        <f>"013353"</f>
        <v>013353</v>
      </c>
      <c r="C255" s="6" t="s">
        <v>193</v>
      </c>
      <c r="D255" s="6" t="s">
        <v>22</v>
      </c>
      <c r="E255" s="6" t="s">
        <v>13</v>
      </c>
      <c r="F255" s="6">
        <v>98</v>
      </c>
      <c r="G255" s="6" t="s">
        <v>194</v>
      </c>
      <c r="H255" s="6" t="s">
        <v>195</v>
      </c>
      <c r="I255" s="6" t="s">
        <v>169</v>
      </c>
      <c r="J255" s="6" t="s">
        <v>17</v>
      </c>
      <c r="K255" s="7">
        <v>58.94</v>
      </c>
    </row>
    <row r="256" spans="1:11" s="4" customFormat="1" ht="20.399999999999999" x14ac:dyDescent="0.2">
      <c r="A256" s="6" t="str">
        <f>"0008760100"</f>
        <v>0008760100</v>
      </c>
      <c r="B256" s="6" t="str">
        <f>"057490"</f>
        <v>057490</v>
      </c>
      <c r="C256" s="6" t="s">
        <v>197</v>
      </c>
      <c r="D256" s="6" t="s">
        <v>22</v>
      </c>
      <c r="E256" s="6" t="s">
        <v>13</v>
      </c>
      <c r="F256" s="6">
        <v>98</v>
      </c>
      <c r="G256" s="6" t="s">
        <v>194</v>
      </c>
      <c r="H256" s="6" t="s">
        <v>195</v>
      </c>
      <c r="I256" s="6" t="s">
        <v>35</v>
      </c>
      <c r="J256" s="6" t="s">
        <v>20</v>
      </c>
      <c r="K256" s="7">
        <v>35.36</v>
      </c>
    </row>
    <row r="257" spans="1:11" s="4" customFormat="1" ht="20.399999999999999" x14ac:dyDescent="0.2">
      <c r="A257" s="6" t="str">
        <f>"0008760100"</f>
        <v>0008760100</v>
      </c>
      <c r="B257" s="6" t="str">
        <f>"075880"</f>
        <v>075880</v>
      </c>
      <c r="C257" s="6" t="s">
        <v>196</v>
      </c>
      <c r="D257" s="6" t="s">
        <v>22</v>
      </c>
      <c r="E257" s="6" t="s">
        <v>13</v>
      </c>
      <c r="F257" s="6">
        <v>98</v>
      </c>
      <c r="G257" s="6" t="s">
        <v>194</v>
      </c>
      <c r="H257" s="6" t="s">
        <v>195</v>
      </c>
      <c r="I257" s="6" t="s">
        <v>124</v>
      </c>
      <c r="J257" s="6" t="s">
        <v>20</v>
      </c>
      <c r="K257" s="7">
        <v>35.36</v>
      </c>
    </row>
    <row r="258" spans="1:11" s="4" customFormat="1" ht="10.199999999999999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7"/>
    </row>
    <row r="259" spans="1:11" s="4" customFormat="1" ht="10.199999999999999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7"/>
    </row>
    <row r="260" spans="1:11" s="4" customFormat="1" ht="10.199999999999999" x14ac:dyDescent="0.2">
      <c r="A260" s="6" t="str">
        <f>"0001040030"</f>
        <v>0001040030</v>
      </c>
      <c r="B260" s="6" t="str">
        <f>"020992"</f>
        <v>020992</v>
      </c>
      <c r="C260" s="6" t="s">
        <v>198</v>
      </c>
      <c r="D260" s="6" t="s">
        <v>174</v>
      </c>
      <c r="E260" s="6" t="s">
        <v>13</v>
      </c>
      <c r="F260" s="6">
        <v>30</v>
      </c>
      <c r="G260" s="6" t="s">
        <v>199</v>
      </c>
      <c r="H260" s="6" t="s">
        <v>200</v>
      </c>
      <c r="I260" s="6" t="s">
        <v>138</v>
      </c>
      <c r="J260" s="6" t="s">
        <v>17</v>
      </c>
      <c r="K260" s="7">
        <v>11.5</v>
      </c>
    </row>
    <row r="261" spans="1:11" s="4" customFormat="1" ht="10.199999999999999" x14ac:dyDescent="0.2">
      <c r="A261" s="6" t="str">
        <f>"0001040030"</f>
        <v>0001040030</v>
      </c>
      <c r="B261" s="6" t="str">
        <f>"042538"</f>
        <v>042538</v>
      </c>
      <c r="C261" s="6" t="s">
        <v>201</v>
      </c>
      <c r="D261" s="6" t="s">
        <v>59</v>
      </c>
      <c r="E261" s="6" t="s">
        <v>82</v>
      </c>
      <c r="F261" s="6">
        <v>30</v>
      </c>
      <c r="G261" s="6" t="s">
        <v>199</v>
      </c>
      <c r="H261" s="6" t="s">
        <v>200</v>
      </c>
      <c r="I261" s="6" t="s">
        <v>19</v>
      </c>
      <c r="J261" s="6" t="s">
        <v>20</v>
      </c>
      <c r="K261" s="7">
        <v>7.54</v>
      </c>
    </row>
    <row r="262" spans="1:11" s="4" customFormat="1" ht="10.199999999999999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7"/>
    </row>
    <row r="263" spans="1:11" s="4" customFormat="1" ht="10.199999999999999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7"/>
    </row>
    <row r="264" spans="1:11" s="4" customFormat="1" ht="10.199999999999999" x14ac:dyDescent="0.2">
      <c r="A264" s="6" t="str">
        <f>"0001040090"</f>
        <v>0001040090</v>
      </c>
      <c r="B264" s="6" t="str">
        <f>"021033"</f>
        <v>021033</v>
      </c>
      <c r="C264" s="6" t="s">
        <v>198</v>
      </c>
      <c r="D264" s="6" t="s">
        <v>174</v>
      </c>
      <c r="E264" s="6" t="s">
        <v>13</v>
      </c>
      <c r="F264" s="6">
        <v>90</v>
      </c>
      <c r="G264" s="6" t="s">
        <v>199</v>
      </c>
      <c r="H264" s="6" t="s">
        <v>200</v>
      </c>
      <c r="I264" s="6" t="s">
        <v>138</v>
      </c>
      <c r="J264" s="6" t="s">
        <v>17</v>
      </c>
      <c r="K264" s="7">
        <v>33.79</v>
      </c>
    </row>
    <row r="265" spans="1:11" s="4" customFormat="1" ht="10.199999999999999" x14ac:dyDescent="0.2">
      <c r="A265" s="6" t="str">
        <f>"0001040090"</f>
        <v>0001040090</v>
      </c>
      <c r="B265" s="6" t="str">
        <f>"042550"</f>
        <v>042550</v>
      </c>
      <c r="C265" s="6" t="s">
        <v>201</v>
      </c>
      <c r="D265" s="6" t="s">
        <v>59</v>
      </c>
      <c r="E265" s="6" t="s">
        <v>82</v>
      </c>
      <c r="F265" s="6">
        <v>90</v>
      </c>
      <c r="G265" s="6" t="s">
        <v>199</v>
      </c>
      <c r="H265" s="6" t="s">
        <v>200</v>
      </c>
      <c r="I265" s="6" t="s">
        <v>19</v>
      </c>
      <c r="J265" s="6" t="s">
        <v>20</v>
      </c>
      <c r="K265" s="7">
        <v>20.59</v>
      </c>
    </row>
    <row r="266" spans="1:11" s="4" customFormat="1" ht="10.199999999999999" x14ac:dyDescent="0.2">
      <c r="A266" s="6" t="str">
        <f>"0001040090"</f>
        <v>0001040090</v>
      </c>
      <c r="B266" s="6" t="str">
        <f>"163740"</f>
        <v>163740</v>
      </c>
      <c r="C266" s="6" t="s">
        <v>202</v>
      </c>
      <c r="D266" s="6" t="s">
        <v>59</v>
      </c>
      <c r="E266" s="6" t="s">
        <v>82</v>
      </c>
      <c r="F266" s="6">
        <v>90</v>
      </c>
      <c r="G266" s="6" t="s">
        <v>199</v>
      </c>
      <c r="H266" s="6" t="s">
        <v>200</v>
      </c>
      <c r="I266" s="6" t="s">
        <v>35</v>
      </c>
      <c r="J266" s="6" t="s">
        <v>20</v>
      </c>
      <c r="K266" s="7">
        <v>20.59</v>
      </c>
    </row>
    <row r="267" spans="1:11" s="4" customFormat="1" ht="10.199999999999999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7"/>
    </row>
    <row r="268" spans="1:11" s="4" customFormat="1" ht="10.199999999999999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7"/>
    </row>
    <row r="269" spans="1:11" s="4" customFormat="1" ht="10.199999999999999" x14ac:dyDescent="0.2">
      <c r="A269" s="6" t="str">
        <f>"0005920030"</f>
        <v>0005920030</v>
      </c>
      <c r="B269" s="6" t="str">
        <f>"020918"</f>
        <v>020918</v>
      </c>
      <c r="C269" s="6" t="s">
        <v>198</v>
      </c>
      <c r="D269" s="6" t="s">
        <v>39</v>
      </c>
      <c r="E269" s="6" t="s">
        <v>13</v>
      </c>
      <c r="F269" s="6">
        <v>30</v>
      </c>
      <c r="G269" s="6" t="s">
        <v>199</v>
      </c>
      <c r="H269" s="6" t="s">
        <v>200</v>
      </c>
      <c r="I269" s="6" t="s">
        <v>138</v>
      </c>
      <c r="J269" s="6" t="s">
        <v>17</v>
      </c>
      <c r="K269" s="7">
        <v>17.239999999999998</v>
      </c>
    </row>
    <row r="270" spans="1:11" s="4" customFormat="1" ht="10.199999999999999" x14ac:dyDescent="0.2">
      <c r="A270" s="6" t="str">
        <f>"0005920030"</f>
        <v>0005920030</v>
      </c>
      <c r="B270" s="6" t="str">
        <f>"042516"</f>
        <v>042516</v>
      </c>
      <c r="C270" s="6" t="s">
        <v>201</v>
      </c>
      <c r="D270" s="6" t="s">
        <v>71</v>
      </c>
      <c r="E270" s="6" t="s">
        <v>82</v>
      </c>
      <c r="F270" s="6">
        <v>30</v>
      </c>
      <c r="G270" s="6" t="s">
        <v>199</v>
      </c>
      <c r="H270" s="6" t="s">
        <v>200</v>
      </c>
      <c r="I270" s="6" t="s">
        <v>19</v>
      </c>
      <c r="J270" s="6" t="s">
        <v>20</v>
      </c>
      <c r="K270" s="7">
        <v>12.01</v>
      </c>
    </row>
    <row r="271" spans="1:11" s="4" customFormat="1" ht="10.199999999999999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7"/>
    </row>
    <row r="272" spans="1:11" s="4" customFormat="1" ht="10.199999999999999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7"/>
    </row>
    <row r="273" spans="1:11" s="4" customFormat="1" ht="10.199999999999999" x14ac:dyDescent="0.2">
      <c r="A273" s="6" t="str">
        <f>"0005920090"</f>
        <v>0005920090</v>
      </c>
      <c r="B273" s="6" t="str">
        <f>"020940"</f>
        <v>020940</v>
      </c>
      <c r="C273" s="6" t="s">
        <v>198</v>
      </c>
      <c r="D273" s="6" t="s">
        <v>39</v>
      </c>
      <c r="E273" s="6" t="s">
        <v>13</v>
      </c>
      <c r="F273" s="6">
        <v>90</v>
      </c>
      <c r="G273" s="6" t="s">
        <v>199</v>
      </c>
      <c r="H273" s="6" t="s">
        <v>200</v>
      </c>
      <c r="I273" s="6" t="s">
        <v>138</v>
      </c>
      <c r="J273" s="6" t="s">
        <v>17</v>
      </c>
      <c r="K273" s="7">
        <v>48.31</v>
      </c>
    </row>
    <row r="274" spans="1:11" s="4" customFormat="1" ht="10.199999999999999" x14ac:dyDescent="0.2">
      <c r="A274" s="6" t="str">
        <f>"0005920090"</f>
        <v>0005920090</v>
      </c>
      <c r="B274" s="6" t="str">
        <f>"042527"</f>
        <v>042527</v>
      </c>
      <c r="C274" s="6" t="s">
        <v>201</v>
      </c>
      <c r="D274" s="6" t="s">
        <v>71</v>
      </c>
      <c r="E274" s="6" t="s">
        <v>82</v>
      </c>
      <c r="F274" s="6">
        <v>90</v>
      </c>
      <c r="G274" s="6" t="s">
        <v>199</v>
      </c>
      <c r="H274" s="6" t="s">
        <v>200</v>
      </c>
      <c r="I274" s="6" t="s">
        <v>19</v>
      </c>
      <c r="J274" s="6" t="s">
        <v>20</v>
      </c>
      <c r="K274" s="7">
        <v>32.78</v>
      </c>
    </row>
    <row r="275" spans="1:11" s="4" customFormat="1" ht="10.199999999999999" x14ac:dyDescent="0.2">
      <c r="A275" s="6" t="str">
        <f>"0005920090"</f>
        <v>0005920090</v>
      </c>
      <c r="B275" s="6" t="str">
        <f>"163762"</f>
        <v>163762</v>
      </c>
      <c r="C275" s="6" t="s">
        <v>202</v>
      </c>
      <c r="D275" s="6" t="s">
        <v>71</v>
      </c>
      <c r="E275" s="6" t="s">
        <v>82</v>
      </c>
      <c r="F275" s="6">
        <v>90</v>
      </c>
      <c r="G275" s="6" t="s">
        <v>199</v>
      </c>
      <c r="H275" s="6" t="s">
        <v>200</v>
      </c>
      <c r="I275" s="6" t="s">
        <v>35</v>
      </c>
      <c r="J275" s="6" t="s">
        <v>20</v>
      </c>
      <c r="K275" s="7">
        <v>32.78</v>
      </c>
    </row>
    <row r="276" spans="1:11" s="4" customFormat="1" ht="10.199999999999999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7"/>
    </row>
    <row r="277" spans="1:11" s="4" customFormat="1" ht="10.199999999999999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7"/>
    </row>
    <row r="278" spans="1:11" s="4" customFormat="1" ht="20.399999999999999" x14ac:dyDescent="0.2">
      <c r="A278" s="6" t="str">
        <f>"0001160030"</f>
        <v>0001160030</v>
      </c>
      <c r="B278" s="6" t="str">
        <f>"446385"</f>
        <v>446385</v>
      </c>
      <c r="C278" s="6" t="s">
        <v>203</v>
      </c>
      <c r="D278" s="6" t="s">
        <v>204</v>
      </c>
      <c r="E278" s="6" t="s">
        <v>82</v>
      </c>
      <c r="F278" s="6">
        <v>28</v>
      </c>
      <c r="G278" s="6" t="s">
        <v>205</v>
      </c>
      <c r="H278" s="6" t="s">
        <v>206</v>
      </c>
      <c r="I278" s="6" t="s">
        <v>207</v>
      </c>
      <c r="J278" s="6" t="s">
        <v>17</v>
      </c>
      <c r="K278" s="7">
        <v>5.32</v>
      </c>
    </row>
    <row r="279" spans="1:11" s="4" customFormat="1" ht="20.399999999999999" x14ac:dyDescent="0.2">
      <c r="A279" s="6" t="str">
        <f>"0001160030"</f>
        <v>0001160030</v>
      </c>
      <c r="B279" s="6" t="str">
        <f>"037937"</f>
        <v>037937</v>
      </c>
      <c r="C279" s="6" t="s">
        <v>208</v>
      </c>
      <c r="D279" s="6" t="s">
        <v>204</v>
      </c>
      <c r="E279" s="6" t="s">
        <v>82</v>
      </c>
      <c r="F279" s="6">
        <v>30</v>
      </c>
      <c r="G279" s="6" t="s">
        <v>205</v>
      </c>
      <c r="H279" s="6" t="s">
        <v>206</v>
      </c>
      <c r="I279" s="6" t="s">
        <v>209</v>
      </c>
      <c r="J279" s="6" t="s">
        <v>20</v>
      </c>
      <c r="K279" s="7">
        <v>5.58</v>
      </c>
    </row>
    <row r="280" spans="1:11" s="4" customFormat="1" ht="20.399999999999999" x14ac:dyDescent="0.2">
      <c r="A280" s="6" t="str">
        <f>"0001160030"</f>
        <v>0001160030</v>
      </c>
      <c r="B280" s="6" t="str">
        <f>"377139"</f>
        <v>377139</v>
      </c>
      <c r="C280" s="6" t="s">
        <v>210</v>
      </c>
      <c r="D280" s="6" t="s">
        <v>204</v>
      </c>
      <c r="E280" s="6" t="s">
        <v>82</v>
      </c>
      <c r="F280" s="6">
        <v>30</v>
      </c>
      <c r="G280" s="6" t="s">
        <v>205</v>
      </c>
      <c r="H280" s="6" t="s">
        <v>206</v>
      </c>
      <c r="I280" s="6" t="s">
        <v>211</v>
      </c>
      <c r="J280" s="6" t="s">
        <v>20</v>
      </c>
      <c r="K280" s="7">
        <v>5.58</v>
      </c>
    </row>
    <row r="281" spans="1:11" s="4" customFormat="1" ht="20.399999999999999" x14ac:dyDescent="0.2">
      <c r="A281" s="6" t="str">
        <f>"0001160030"</f>
        <v>0001160030</v>
      </c>
      <c r="B281" s="6" t="str">
        <f>"476146"</f>
        <v>476146</v>
      </c>
      <c r="C281" s="6" t="s">
        <v>212</v>
      </c>
      <c r="D281" s="6" t="s">
        <v>204</v>
      </c>
      <c r="E281" s="6" t="s">
        <v>82</v>
      </c>
      <c r="F281" s="6">
        <v>30</v>
      </c>
      <c r="G281" s="6" t="s">
        <v>205</v>
      </c>
      <c r="H281" s="6" t="s">
        <v>206</v>
      </c>
      <c r="I281" s="6" t="s">
        <v>150</v>
      </c>
      <c r="J281" s="6" t="s">
        <v>20</v>
      </c>
      <c r="K281" s="7">
        <v>5.58</v>
      </c>
    </row>
    <row r="282" spans="1:11" s="4" customFormat="1" ht="10.199999999999999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7"/>
    </row>
    <row r="283" spans="1:11" s="4" customFormat="1" ht="10.199999999999999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7"/>
    </row>
    <row r="284" spans="1:11" s="4" customFormat="1" ht="20.399999999999999" x14ac:dyDescent="0.2">
      <c r="A284" s="6" t="str">
        <f>"0009840030"</f>
        <v>0009840030</v>
      </c>
      <c r="B284" s="6" t="str">
        <f>"087378"</f>
        <v>087378</v>
      </c>
      <c r="C284" s="6" t="s">
        <v>213</v>
      </c>
      <c r="D284" s="6" t="s">
        <v>214</v>
      </c>
      <c r="E284" s="6" t="s">
        <v>13</v>
      </c>
      <c r="F284" s="6">
        <v>30</v>
      </c>
      <c r="G284" s="6" t="s">
        <v>215</v>
      </c>
      <c r="H284" s="6" t="s">
        <v>216</v>
      </c>
      <c r="I284" s="6" t="s">
        <v>138</v>
      </c>
      <c r="J284" s="6" t="s">
        <v>17</v>
      </c>
      <c r="K284" s="7">
        <v>11.39</v>
      </c>
    </row>
    <row r="285" spans="1:11" s="4" customFormat="1" ht="20.399999999999999" x14ac:dyDescent="0.2">
      <c r="A285" s="6" t="str">
        <f>"0009840030"</f>
        <v>0009840030</v>
      </c>
      <c r="B285" s="6" t="str">
        <f>"082899"</f>
        <v>082899</v>
      </c>
      <c r="C285" s="6" t="s">
        <v>217</v>
      </c>
      <c r="D285" s="6" t="s">
        <v>218</v>
      </c>
      <c r="E285" s="6" t="s">
        <v>82</v>
      </c>
      <c r="F285" s="6">
        <v>30</v>
      </c>
      <c r="G285" s="6" t="s">
        <v>215</v>
      </c>
      <c r="H285" s="6" t="s">
        <v>216</v>
      </c>
      <c r="I285" s="6" t="s">
        <v>28</v>
      </c>
      <c r="J285" s="6" t="s">
        <v>20</v>
      </c>
      <c r="K285" s="7">
        <v>6.83</v>
      </c>
    </row>
    <row r="286" spans="1:11" s="4" customFormat="1" ht="20.399999999999999" x14ac:dyDescent="0.2">
      <c r="A286" s="6" t="str">
        <f>"0009840030"</f>
        <v>0009840030</v>
      </c>
      <c r="B286" s="6" t="str">
        <f>"529015"</f>
        <v>529015</v>
      </c>
      <c r="C286" s="6" t="s">
        <v>219</v>
      </c>
      <c r="D286" s="6" t="s">
        <v>218</v>
      </c>
      <c r="E286" s="6" t="s">
        <v>82</v>
      </c>
      <c r="F286" s="6">
        <v>30</v>
      </c>
      <c r="G286" s="6" t="s">
        <v>215</v>
      </c>
      <c r="H286" s="6" t="s">
        <v>216</v>
      </c>
      <c r="I286" s="6" t="s">
        <v>37</v>
      </c>
      <c r="J286" s="6" t="s">
        <v>20</v>
      </c>
      <c r="K286" s="7">
        <v>6.83</v>
      </c>
    </row>
    <row r="287" spans="1:11" s="4" customFormat="1" ht="10.199999999999999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7"/>
    </row>
    <row r="288" spans="1:11" s="4" customFormat="1" ht="10.199999999999999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7"/>
    </row>
    <row r="289" spans="1:11" s="4" customFormat="1" ht="20.399999999999999" x14ac:dyDescent="0.2">
      <c r="A289" s="6" t="str">
        <f>"0009840090"</f>
        <v>0009840090</v>
      </c>
      <c r="B289" s="6" t="str">
        <f>"087388"</f>
        <v>087388</v>
      </c>
      <c r="C289" s="6" t="s">
        <v>213</v>
      </c>
      <c r="D289" s="6" t="s">
        <v>214</v>
      </c>
      <c r="E289" s="6" t="s">
        <v>13</v>
      </c>
      <c r="F289" s="6">
        <v>90</v>
      </c>
      <c r="G289" s="6" t="s">
        <v>215</v>
      </c>
      <c r="H289" s="6" t="s">
        <v>216</v>
      </c>
      <c r="I289" s="6" t="s">
        <v>138</v>
      </c>
      <c r="J289" s="6" t="s">
        <v>17</v>
      </c>
      <c r="K289" s="7">
        <v>31.1</v>
      </c>
    </row>
    <row r="290" spans="1:11" s="4" customFormat="1" ht="20.399999999999999" x14ac:dyDescent="0.2">
      <c r="A290" s="6" t="str">
        <f>"0009840090"</f>
        <v>0009840090</v>
      </c>
      <c r="B290" s="6" t="str">
        <f>"082910"</f>
        <v>082910</v>
      </c>
      <c r="C290" s="6" t="s">
        <v>217</v>
      </c>
      <c r="D290" s="6" t="s">
        <v>218</v>
      </c>
      <c r="E290" s="6" t="s">
        <v>82</v>
      </c>
      <c r="F290" s="6">
        <v>90</v>
      </c>
      <c r="G290" s="6" t="s">
        <v>215</v>
      </c>
      <c r="H290" s="6" t="s">
        <v>216</v>
      </c>
      <c r="I290" s="6" t="s">
        <v>28</v>
      </c>
      <c r="J290" s="6" t="s">
        <v>20</v>
      </c>
      <c r="K290" s="7">
        <v>18.66</v>
      </c>
    </row>
    <row r="291" spans="1:11" s="4" customFormat="1" ht="20.399999999999999" x14ac:dyDescent="0.2">
      <c r="A291" s="6" t="str">
        <f>"0009840090"</f>
        <v>0009840090</v>
      </c>
      <c r="B291" s="6" t="str">
        <f>"460528"</f>
        <v>460528</v>
      </c>
      <c r="C291" s="6" t="s">
        <v>219</v>
      </c>
      <c r="D291" s="6" t="s">
        <v>218</v>
      </c>
      <c r="E291" s="6" t="s">
        <v>82</v>
      </c>
      <c r="F291" s="6">
        <v>90</v>
      </c>
      <c r="G291" s="6" t="s">
        <v>215</v>
      </c>
      <c r="H291" s="6" t="s">
        <v>216</v>
      </c>
      <c r="I291" s="6" t="s">
        <v>37</v>
      </c>
      <c r="J291" s="6" t="s">
        <v>20</v>
      </c>
      <c r="K291" s="7">
        <v>18.66</v>
      </c>
    </row>
    <row r="292" spans="1:11" s="4" customFormat="1" ht="10.199999999999999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7"/>
    </row>
    <row r="293" spans="1:11" s="4" customFormat="1" ht="10.199999999999999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7"/>
    </row>
    <row r="294" spans="1:11" s="4" customFormat="1" ht="20.399999999999999" x14ac:dyDescent="0.2">
      <c r="A294" s="6" t="str">
        <f>"0011000030"</f>
        <v>0011000030</v>
      </c>
      <c r="B294" s="6" t="str">
        <f>"034910"</f>
        <v>034910</v>
      </c>
      <c r="C294" s="6" t="s">
        <v>213</v>
      </c>
      <c r="D294" s="6" t="s">
        <v>220</v>
      </c>
      <c r="E294" s="6" t="s">
        <v>13</v>
      </c>
      <c r="F294" s="6">
        <v>30</v>
      </c>
      <c r="G294" s="6" t="s">
        <v>215</v>
      </c>
      <c r="H294" s="6" t="s">
        <v>216</v>
      </c>
      <c r="I294" s="6" t="s">
        <v>138</v>
      </c>
      <c r="J294" s="6" t="s">
        <v>17</v>
      </c>
      <c r="K294" s="7">
        <v>18.420000000000002</v>
      </c>
    </row>
    <row r="295" spans="1:11" s="4" customFormat="1" ht="20.399999999999999" x14ac:dyDescent="0.2">
      <c r="A295" s="6" t="str">
        <f>"0011000030"</f>
        <v>0011000030</v>
      </c>
      <c r="B295" s="6" t="str">
        <f>"153201"</f>
        <v>153201</v>
      </c>
      <c r="C295" s="6" t="s">
        <v>217</v>
      </c>
      <c r="D295" s="6" t="s">
        <v>221</v>
      </c>
      <c r="E295" s="6" t="s">
        <v>82</v>
      </c>
      <c r="F295" s="6">
        <v>30</v>
      </c>
      <c r="G295" s="6" t="s">
        <v>215</v>
      </c>
      <c r="H295" s="6" t="s">
        <v>216</v>
      </c>
      <c r="I295" s="6" t="s">
        <v>28</v>
      </c>
      <c r="J295" s="6" t="s">
        <v>20</v>
      </c>
      <c r="K295" s="7">
        <v>12.3</v>
      </c>
    </row>
    <row r="296" spans="1:11" s="4" customFormat="1" ht="10.199999999999999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7"/>
    </row>
    <row r="297" spans="1:11" s="4" customFormat="1" ht="10.199999999999999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7"/>
    </row>
    <row r="298" spans="1:11" s="4" customFormat="1" ht="20.399999999999999" x14ac:dyDescent="0.2">
      <c r="A298" s="6" t="str">
        <f>"0011000090"</f>
        <v>0011000090</v>
      </c>
      <c r="B298" s="6" t="str">
        <f>"034921"</f>
        <v>034921</v>
      </c>
      <c r="C298" s="6" t="s">
        <v>213</v>
      </c>
      <c r="D298" s="6" t="s">
        <v>220</v>
      </c>
      <c r="E298" s="6" t="s">
        <v>13</v>
      </c>
      <c r="F298" s="6">
        <v>90</v>
      </c>
      <c r="G298" s="6" t="s">
        <v>215</v>
      </c>
      <c r="H298" s="6" t="s">
        <v>216</v>
      </c>
      <c r="I298" s="6" t="s">
        <v>138</v>
      </c>
      <c r="J298" s="6" t="s">
        <v>17</v>
      </c>
      <c r="K298" s="7">
        <v>50.29</v>
      </c>
    </row>
    <row r="299" spans="1:11" s="4" customFormat="1" ht="20.399999999999999" x14ac:dyDescent="0.2">
      <c r="A299" s="6" t="str">
        <f>"0011000090"</f>
        <v>0011000090</v>
      </c>
      <c r="B299" s="6" t="str">
        <f>"393619"</f>
        <v>393619</v>
      </c>
      <c r="C299" s="6" t="s">
        <v>217</v>
      </c>
      <c r="D299" s="6" t="s">
        <v>221</v>
      </c>
      <c r="E299" s="6" t="s">
        <v>82</v>
      </c>
      <c r="F299" s="6">
        <v>90</v>
      </c>
      <c r="G299" s="6" t="s">
        <v>215</v>
      </c>
      <c r="H299" s="6" t="s">
        <v>216</v>
      </c>
      <c r="I299" s="6" t="s">
        <v>28</v>
      </c>
      <c r="J299" s="6" t="s">
        <v>20</v>
      </c>
      <c r="K299" s="7">
        <v>33.590000000000003</v>
      </c>
    </row>
    <row r="300" spans="1:11" s="4" customFormat="1" ht="10.199999999999999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7"/>
    </row>
    <row r="301" spans="1:11" s="4" customFormat="1" ht="10.199999999999999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7"/>
    </row>
    <row r="302" spans="1:11" s="4" customFormat="1" ht="20.399999999999999" x14ac:dyDescent="0.2">
      <c r="A302" s="6" t="str">
        <f>"0014480030"</f>
        <v>0014480030</v>
      </c>
      <c r="B302" s="6" t="str">
        <f>"139927"</f>
        <v>139927</v>
      </c>
      <c r="C302" s="6" t="s">
        <v>222</v>
      </c>
      <c r="D302" s="6" t="s">
        <v>223</v>
      </c>
      <c r="E302" s="6" t="s">
        <v>13</v>
      </c>
      <c r="F302" s="6">
        <v>28</v>
      </c>
      <c r="G302" s="6" t="s">
        <v>224</v>
      </c>
      <c r="H302" s="6" t="s">
        <v>225</v>
      </c>
      <c r="I302" s="6" t="s">
        <v>226</v>
      </c>
      <c r="J302" s="6" t="s">
        <v>17</v>
      </c>
      <c r="K302" s="7">
        <v>9.52</v>
      </c>
    </row>
    <row r="303" spans="1:11" s="4" customFormat="1" ht="20.399999999999999" x14ac:dyDescent="0.2">
      <c r="A303" s="6" t="str">
        <f>"0014480030"</f>
        <v>0014480030</v>
      </c>
      <c r="B303" s="6" t="str">
        <f>"112338"</f>
        <v>112338</v>
      </c>
      <c r="C303" s="6" t="s">
        <v>227</v>
      </c>
      <c r="D303" s="6" t="s">
        <v>223</v>
      </c>
      <c r="E303" s="6" t="s">
        <v>13</v>
      </c>
      <c r="F303" s="6">
        <v>28</v>
      </c>
      <c r="G303" s="6" t="s">
        <v>224</v>
      </c>
      <c r="H303" s="6" t="s">
        <v>225</v>
      </c>
      <c r="I303" s="6" t="s">
        <v>28</v>
      </c>
      <c r="J303" s="6" t="s">
        <v>20</v>
      </c>
      <c r="K303" s="7">
        <v>5.71</v>
      </c>
    </row>
    <row r="304" spans="1:11" s="4" customFormat="1" ht="10.199999999999999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7"/>
    </row>
    <row r="305" spans="1:11" s="4" customFormat="1" ht="10.199999999999999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7"/>
    </row>
    <row r="306" spans="1:11" s="4" customFormat="1" ht="20.399999999999999" x14ac:dyDescent="0.2">
      <c r="A306" s="6" t="str">
        <f>"0014480100"</f>
        <v>0014480100</v>
      </c>
      <c r="B306" s="6" t="str">
        <f>"139938"</f>
        <v>139938</v>
      </c>
      <c r="C306" s="6" t="s">
        <v>222</v>
      </c>
      <c r="D306" s="6" t="s">
        <v>223</v>
      </c>
      <c r="E306" s="6" t="s">
        <v>13</v>
      </c>
      <c r="F306" s="6">
        <v>98</v>
      </c>
      <c r="G306" s="6" t="s">
        <v>224</v>
      </c>
      <c r="H306" s="6" t="s">
        <v>225</v>
      </c>
      <c r="I306" s="6" t="s">
        <v>226</v>
      </c>
      <c r="J306" s="6" t="s">
        <v>17</v>
      </c>
      <c r="K306" s="7">
        <v>24.51</v>
      </c>
    </row>
    <row r="307" spans="1:11" s="4" customFormat="1" ht="20.399999999999999" x14ac:dyDescent="0.2">
      <c r="A307" s="6" t="str">
        <f>"0014480100"</f>
        <v>0014480100</v>
      </c>
      <c r="B307" s="6" t="str">
        <f>"061828"</f>
        <v>061828</v>
      </c>
      <c r="C307" s="6" t="s">
        <v>227</v>
      </c>
      <c r="D307" s="6" t="s">
        <v>223</v>
      </c>
      <c r="E307" s="6" t="s">
        <v>13</v>
      </c>
      <c r="F307" s="6">
        <v>98</v>
      </c>
      <c r="G307" s="6" t="s">
        <v>224</v>
      </c>
      <c r="H307" s="6" t="s">
        <v>225</v>
      </c>
      <c r="I307" s="6" t="s">
        <v>28</v>
      </c>
      <c r="J307" s="6" t="s">
        <v>20</v>
      </c>
      <c r="K307" s="7">
        <v>14.71</v>
      </c>
    </row>
    <row r="308" spans="1:11" s="4" customFormat="1" ht="10.199999999999999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7"/>
    </row>
    <row r="309" spans="1:11" s="4" customFormat="1" ht="10.199999999999999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7"/>
    </row>
    <row r="310" spans="1:11" s="4" customFormat="1" ht="20.399999999999999" x14ac:dyDescent="0.2">
      <c r="A310" s="6" t="str">
        <f>"0014490030"</f>
        <v>0014490030</v>
      </c>
      <c r="B310" s="6" t="str">
        <f>"139950"</f>
        <v>139950</v>
      </c>
      <c r="C310" s="6" t="s">
        <v>222</v>
      </c>
      <c r="D310" s="6" t="s">
        <v>228</v>
      </c>
      <c r="E310" s="6" t="s">
        <v>13</v>
      </c>
      <c r="F310" s="6">
        <v>28</v>
      </c>
      <c r="G310" s="6" t="s">
        <v>224</v>
      </c>
      <c r="H310" s="6" t="s">
        <v>225</v>
      </c>
      <c r="I310" s="6" t="s">
        <v>226</v>
      </c>
      <c r="J310" s="6" t="s">
        <v>17</v>
      </c>
      <c r="K310" s="7">
        <v>10.029999999999999</v>
      </c>
    </row>
    <row r="311" spans="1:11" s="4" customFormat="1" ht="20.399999999999999" x14ac:dyDescent="0.2">
      <c r="A311" s="6" t="str">
        <f>"0014490030"</f>
        <v>0014490030</v>
      </c>
      <c r="B311" s="6" t="str">
        <f>"190469"</f>
        <v>190469</v>
      </c>
      <c r="C311" s="6" t="s">
        <v>227</v>
      </c>
      <c r="D311" s="6" t="s">
        <v>228</v>
      </c>
      <c r="E311" s="6" t="s">
        <v>13</v>
      </c>
      <c r="F311" s="6">
        <v>28</v>
      </c>
      <c r="G311" s="6" t="s">
        <v>224</v>
      </c>
      <c r="H311" s="6" t="s">
        <v>225</v>
      </c>
      <c r="I311" s="6" t="s">
        <v>28</v>
      </c>
      <c r="J311" s="6" t="s">
        <v>20</v>
      </c>
      <c r="K311" s="7">
        <v>6.02</v>
      </c>
    </row>
    <row r="312" spans="1:11" s="4" customFormat="1" ht="10.199999999999999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7"/>
    </row>
    <row r="313" spans="1:11" s="4" customFormat="1" ht="10.199999999999999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7"/>
    </row>
    <row r="314" spans="1:11" s="4" customFormat="1" ht="20.399999999999999" x14ac:dyDescent="0.2">
      <c r="A314" s="6" t="str">
        <f>"0014490100"</f>
        <v>0014490100</v>
      </c>
      <c r="B314" s="6" t="str">
        <f>"139961"</f>
        <v>139961</v>
      </c>
      <c r="C314" s="6" t="s">
        <v>222</v>
      </c>
      <c r="D314" s="6" t="s">
        <v>228</v>
      </c>
      <c r="E314" s="6" t="s">
        <v>13</v>
      </c>
      <c r="F314" s="6">
        <v>98</v>
      </c>
      <c r="G314" s="6" t="s">
        <v>224</v>
      </c>
      <c r="H314" s="6" t="s">
        <v>225</v>
      </c>
      <c r="I314" s="6" t="s">
        <v>226</v>
      </c>
      <c r="J314" s="6" t="s">
        <v>17</v>
      </c>
      <c r="K314" s="7">
        <v>28.77</v>
      </c>
    </row>
    <row r="315" spans="1:11" s="4" customFormat="1" ht="20.399999999999999" x14ac:dyDescent="0.2">
      <c r="A315" s="6" t="str">
        <f>"0014490100"</f>
        <v>0014490100</v>
      </c>
      <c r="B315" s="6" t="str">
        <f>"459325"</f>
        <v>459325</v>
      </c>
      <c r="C315" s="6" t="s">
        <v>227</v>
      </c>
      <c r="D315" s="6" t="s">
        <v>228</v>
      </c>
      <c r="E315" s="6" t="s">
        <v>13</v>
      </c>
      <c r="F315" s="6">
        <v>98</v>
      </c>
      <c r="G315" s="6" t="s">
        <v>224</v>
      </c>
      <c r="H315" s="6" t="s">
        <v>225</v>
      </c>
      <c r="I315" s="6" t="s">
        <v>28</v>
      </c>
      <c r="J315" s="6" t="s">
        <v>20</v>
      </c>
      <c r="K315" s="7">
        <v>17.260000000000002</v>
      </c>
    </row>
    <row r="316" spans="1:11" s="4" customFormat="1" ht="10.199999999999999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7"/>
    </row>
    <row r="317" spans="1:11" s="4" customFormat="1" ht="10.199999999999999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7"/>
    </row>
    <row r="318" spans="1:11" s="4" customFormat="1" ht="10.199999999999999" x14ac:dyDescent="0.2">
      <c r="A318" s="6" t="str">
        <f>"0006710030"</f>
        <v>0006710030</v>
      </c>
      <c r="B318" s="6" t="str">
        <f>"006914"</f>
        <v>006914</v>
      </c>
      <c r="C318" s="6" t="s">
        <v>229</v>
      </c>
      <c r="D318" s="6" t="s">
        <v>230</v>
      </c>
      <c r="E318" s="6" t="s">
        <v>13</v>
      </c>
      <c r="F318" s="6">
        <v>28</v>
      </c>
      <c r="G318" s="6" t="s">
        <v>231</v>
      </c>
      <c r="H318" s="6" t="s">
        <v>232</v>
      </c>
      <c r="I318" s="6" t="s">
        <v>207</v>
      </c>
      <c r="J318" s="6" t="s">
        <v>17</v>
      </c>
      <c r="K318" s="7">
        <v>25</v>
      </c>
    </row>
    <row r="319" spans="1:11" s="4" customFormat="1" ht="10.199999999999999" x14ac:dyDescent="0.2">
      <c r="A319" s="6" t="str">
        <f>"0006710030"</f>
        <v>0006710030</v>
      </c>
      <c r="B319" s="6" t="str">
        <f>"168568"</f>
        <v>168568</v>
      </c>
      <c r="C319" s="6" t="s">
        <v>233</v>
      </c>
      <c r="D319" s="6" t="s">
        <v>230</v>
      </c>
      <c r="E319" s="6" t="s">
        <v>13</v>
      </c>
      <c r="F319" s="6">
        <v>30</v>
      </c>
      <c r="G319" s="6" t="s">
        <v>231</v>
      </c>
      <c r="H319" s="6" t="s">
        <v>232</v>
      </c>
      <c r="I319" s="6" t="s">
        <v>19</v>
      </c>
      <c r="J319" s="6" t="s">
        <v>20</v>
      </c>
      <c r="K319" s="7">
        <v>18.52</v>
      </c>
    </row>
    <row r="320" spans="1:11" s="4" customFormat="1" ht="20.399999999999999" x14ac:dyDescent="0.2">
      <c r="A320" s="6" t="str">
        <f>"0006710030"</f>
        <v>0006710030</v>
      </c>
      <c r="B320" s="6" t="str">
        <f>"047567"</f>
        <v>047567</v>
      </c>
      <c r="C320" s="6" t="s">
        <v>234</v>
      </c>
      <c r="D320" s="6" t="s">
        <v>230</v>
      </c>
      <c r="E320" s="6" t="s">
        <v>13</v>
      </c>
      <c r="F320" s="6">
        <v>28</v>
      </c>
      <c r="G320" s="6" t="s">
        <v>231</v>
      </c>
      <c r="H320" s="6" t="s">
        <v>232</v>
      </c>
      <c r="I320" s="6" t="s">
        <v>124</v>
      </c>
      <c r="J320" s="6" t="s">
        <v>20</v>
      </c>
      <c r="K320" s="7">
        <v>17.29</v>
      </c>
    </row>
    <row r="321" spans="1:11" s="4" customFormat="1" ht="10.199999999999999" x14ac:dyDescent="0.2">
      <c r="A321" s="6" t="str">
        <f>"0006710030"</f>
        <v>0006710030</v>
      </c>
      <c r="B321" s="6" t="str">
        <f>"093996"</f>
        <v>093996</v>
      </c>
      <c r="C321" s="6" t="s">
        <v>235</v>
      </c>
      <c r="D321" s="6" t="s">
        <v>230</v>
      </c>
      <c r="E321" s="6" t="s">
        <v>13</v>
      </c>
      <c r="F321" s="6">
        <v>28</v>
      </c>
      <c r="G321" s="6" t="s">
        <v>231</v>
      </c>
      <c r="H321" s="6" t="s">
        <v>232</v>
      </c>
      <c r="I321" s="6" t="s">
        <v>28</v>
      </c>
      <c r="J321" s="6" t="s">
        <v>20</v>
      </c>
      <c r="K321" s="7">
        <v>17.29</v>
      </c>
    </row>
    <row r="322" spans="1:11" s="4" customFormat="1" ht="10.199999999999999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7"/>
    </row>
    <row r="323" spans="1:11" s="4" customFormat="1" ht="10.199999999999999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7"/>
    </row>
    <row r="324" spans="1:11" s="4" customFormat="1" ht="10.199999999999999" x14ac:dyDescent="0.2">
      <c r="A324" s="6" t="str">
        <f>"0006710100"</f>
        <v>0006710100</v>
      </c>
      <c r="B324" s="6" t="str">
        <f>"006928"</f>
        <v>006928</v>
      </c>
      <c r="C324" s="6" t="s">
        <v>229</v>
      </c>
      <c r="D324" s="6" t="s">
        <v>230</v>
      </c>
      <c r="E324" s="6" t="s">
        <v>13</v>
      </c>
      <c r="F324" s="6">
        <v>98</v>
      </c>
      <c r="G324" s="6" t="s">
        <v>231</v>
      </c>
      <c r="H324" s="6" t="s">
        <v>232</v>
      </c>
      <c r="I324" s="6" t="s">
        <v>207</v>
      </c>
      <c r="J324" s="6" t="s">
        <v>17</v>
      </c>
      <c r="K324" s="7">
        <v>87.5</v>
      </c>
    </row>
    <row r="325" spans="1:11" s="4" customFormat="1" ht="10.199999999999999" x14ac:dyDescent="0.2">
      <c r="A325" s="6" t="str">
        <f>"0006710100"</f>
        <v>0006710100</v>
      </c>
      <c r="B325" s="6" t="str">
        <f>"026943"</f>
        <v>026943</v>
      </c>
      <c r="C325" s="6" t="s">
        <v>233</v>
      </c>
      <c r="D325" s="6" t="s">
        <v>230</v>
      </c>
      <c r="E325" s="6" t="s">
        <v>13</v>
      </c>
      <c r="F325" s="6">
        <v>100</v>
      </c>
      <c r="G325" s="6" t="s">
        <v>231</v>
      </c>
      <c r="H325" s="6" t="s">
        <v>232</v>
      </c>
      <c r="I325" s="6" t="s">
        <v>19</v>
      </c>
      <c r="J325" s="6" t="s">
        <v>20</v>
      </c>
      <c r="K325" s="7">
        <v>64.8</v>
      </c>
    </row>
    <row r="326" spans="1:11" s="4" customFormat="1" ht="20.399999999999999" x14ac:dyDescent="0.2">
      <c r="A326" s="6" t="str">
        <f>"0006710100"</f>
        <v>0006710100</v>
      </c>
      <c r="B326" s="6" t="str">
        <f>"047579"</f>
        <v>047579</v>
      </c>
      <c r="C326" s="6" t="s">
        <v>234</v>
      </c>
      <c r="D326" s="6" t="s">
        <v>230</v>
      </c>
      <c r="E326" s="6" t="s">
        <v>13</v>
      </c>
      <c r="F326" s="6">
        <v>98</v>
      </c>
      <c r="G326" s="6" t="s">
        <v>231</v>
      </c>
      <c r="H326" s="6" t="s">
        <v>232</v>
      </c>
      <c r="I326" s="6" t="s">
        <v>124</v>
      </c>
      <c r="J326" s="6" t="s">
        <v>20</v>
      </c>
      <c r="K326" s="7">
        <v>63.5</v>
      </c>
    </row>
    <row r="327" spans="1:11" s="4" customFormat="1" ht="10.199999999999999" x14ac:dyDescent="0.2">
      <c r="A327" s="6" t="str">
        <f>"0006710100"</f>
        <v>0006710100</v>
      </c>
      <c r="B327" s="6" t="str">
        <f>"094023"</f>
        <v>094023</v>
      </c>
      <c r="C327" s="6" t="s">
        <v>235</v>
      </c>
      <c r="D327" s="6" t="s">
        <v>230</v>
      </c>
      <c r="E327" s="6" t="s">
        <v>13</v>
      </c>
      <c r="F327" s="6">
        <v>98</v>
      </c>
      <c r="G327" s="6" t="s">
        <v>231</v>
      </c>
      <c r="H327" s="6" t="s">
        <v>232</v>
      </c>
      <c r="I327" s="6" t="s">
        <v>28</v>
      </c>
      <c r="J327" s="6" t="s">
        <v>20</v>
      </c>
      <c r="K327" s="7">
        <v>63.5</v>
      </c>
    </row>
    <row r="328" spans="1:11" s="4" customFormat="1" ht="10.199999999999999" x14ac:dyDescent="0.2">
      <c r="A328" s="6" t="str">
        <f>"0006710100"</f>
        <v>0006710100</v>
      </c>
      <c r="B328" s="6" t="str">
        <f>"030491"</f>
        <v>030491</v>
      </c>
      <c r="C328" s="6" t="s">
        <v>236</v>
      </c>
      <c r="D328" s="6" t="s">
        <v>230</v>
      </c>
      <c r="E328" s="6" t="s">
        <v>13</v>
      </c>
      <c r="F328" s="6">
        <v>98</v>
      </c>
      <c r="G328" s="6" t="s">
        <v>231</v>
      </c>
      <c r="H328" s="6" t="s">
        <v>232</v>
      </c>
      <c r="I328" s="6" t="s">
        <v>65</v>
      </c>
      <c r="J328" s="6" t="s">
        <v>20</v>
      </c>
      <c r="K328" s="7">
        <v>63.5</v>
      </c>
    </row>
    <row r="329" spans="1:11" s="4" customFormat="1" ht="10.199999999999999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7"/>
    </row>
    <row r="330" spans="1:11" s="4" customFormat="1" ht="10.199999999999999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7"/>
    </row>
    <row r="331" spans="1:11" s="4" customFormat="1" ht="10.199999999999999" x14ac:dyDescent="0.2">
      <c r="A331" s="6" t="str">
        <f>"0010430030"</f>
        <v>0010430030</v>
      </c>
      <c r="B331" s="6" t="str">
        <f>"065979"</f>
        <v>065979</v>
      </c>
      <c r="C331" s="6" t="s">
        <v>229</v>
      </c>
      <c r="D331" s="6" t="s">
        <v>237</v>
      </c>
      <c r="E331" s="6" t="s">
        <v>13</v>
      </c>
      <c r="F331" s="6">
        <v>28</v>
      </c>
      <c r="G331" s="6" t="s">
        <v>231</v>
      </c>
      <c r="H331" s="6" t="s">
        <v>232</v>
      </c>
      <c r="I331" s="6" t="s">
        <v>207</v>
      </c>
      <c r="J331" s="6" t="s">
        <v>17</v>
      </c>
      <c r="K331" s="7">
        <v>9.67</v>
      </c>
    </row>
    <row r="332" spans="1:11" s="4" customFormat="1" ht="10.199999999999999" x14ac:dyDescent="0.2">
      <c r="A332" s="6" t="str">
        <f>"0010430030"</f>
        <v>0010430030</v>
      </c>
      <c r="B332" s="6" t="str">
        <f>"375897"</f>
        <v>375897</v>
      </c>
      <c r="C332" s="6" t="s">
        <v>233</v>
      </c>
      <c r="D332" s="6" t="s">
        <v>237</v>
      </c>
      <c r="E332" s="6" t="s">
        <v>13</v>
      </c>
      <c r="F332" s="6">
        <v>30</v>
      </c>
      <c r="G332" s="6" t="s">
        <v>231</v>
      </c>
      <c r="H332" s="6" t="s">
        <v>232</v>
      </c>
      <c r="I332" s="6" t="s">
        <v>19</v>
      </c>
      <c r="J332" s="6" t="s">
        <v>20</v>
      </c>
      <c r="K332" s="7">
        <v>6.44</v>
      </c>
    </row>
    <row r="333" spans="1:11" s="4" customFormat="1" ht="20.399999999999999" x14ac:dyDescent="0.2">
      <c r="A333" s="6" t="str">
        <f>"0010430030"</f>
        <v>0010430030</v>
      </c>
      <c r="B333" s="6" t="str">
        <f>"047556"</f>
        <v>047556</v>
      </c>
      <c r="C333" s="6" t="s">
        <v>234</v>
      </c>
      <c r="D333" s="6" t="s">
        <v>237</v>
      </c>
      <c r="E333" s="6" t="s">
        <v>13</v>
      </c>
      <c r="F333" s="6">
        <v>28</v>
      </c>
      <c r="G333" s="6" t="s">
        <v>231</v>
      </c>
      <c r="H333" s="6" t="s">
        <v>232</v>
      </c>
      <c r="I333" s="6" t="s">
        <v>124</v>
      </c>
      <c r="J333" s="6" t="s">
        <v>20</v>
      </c>
      <c r="K333" s="7">
        <v>6.01</v>
      </c>
    </row>
    <row r="334" spans="1:11" s="4" customFormat="1" ht="10.199999999999999" x14ac:dyDescent="0.2">
      <c r="A334" s="6" t="str">
        <f>"0010430030"</f>
        <v>0010430030</v>
      </c>
      <c r="B334" s="6" t="str">
        <f>"093987"</f>
        <v>093987</v>
      </c>
      <c r="C334" s="6" t="s">
        <v>235</v>
      </c>
      <c r="D334" s="6" t="s">
        <v>237</v>
      </c>
      <c r="E334" s="6" t="s">
        <v>13</v>
      </c>
      <c r="F334" s="6">
        <v>28</v>
      </c>
      <c r="G334" s="6" t="s">
        <v>231</v>
      </c>
      <c r="H334" s="6" t="s">
        <v>232</v>
      </c>
      <c r="I334" s="6" t="s">
        <v>28</v>
      </c>
      <c r="J334" s="6" t="s">
        <v>20</v>
      </c>
      <c r="K334" s="7">
        <v>6.01</v>
      </c>
    </row>
    <row r="335" spans="1:11" s="4" customFormat="1" ht="10.199999999999999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7"/>
    </row>
    <row r="336" spans="1:11" s="4" customFormat="1" ht="10.199999999999999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7"/>
    </row>
    <row r="337" spans="1:11" s="4" customFormat="1" ht="10.199999999999999" x14ac:dyDescent="0.2">
      <c r="A337" s="6" t="str">
        <f>"0010450030"</f>
        <v>0010450030</v>
      </c>
      <c r="B337" s="6" t="str">
        <f>"079053"</f>
        <v>079053</v>
      </c>
      <c r="C337" s="6" t="s">
        <v>229</v>
      </c>
      <c r="D337" s="6" t="s">
        <v>154</v>
      </c>
      <c r="E337" s="6" t="s">
        <v>13</v>
      </c>
      <c r="F337" s="6">
        <v>28</v>
      </c>
      <c r="G337" s="6" t="s">
        <v>231</v>
      </c>
      <c r="H337" s="6" t="s">
        <v>232</v>
      </c>
      <c r="I337" s="6" t="s">
        <v>207</v>
      </c>
      <c r="J337" s="6" t="s">
        <v>17</v>
      </c>
      <c r="K337" s="7">
        <v>14.93</v>
      </c>
    </row>
    <row r="338" spans="1:11" s="4" customFormat="1" ht="10.199999999999999" x14ac:dyDescent="0.2">
      <c r="A338" s="6" t="str">
        <f>"0010450030"</f>
        <v>0010450030</v>
      </c>
      <c r="B338" s="6" t="str">
        <f>"041211"</f>
        <v>041211</v>
      </c>
      <c r="C338" s="6" t="s">
        <v>233</v>
      </c>
      <c r="D338" s="6" t="s">
        <v>154</v>
      </c>
      <c r="E338" s="6" t="s">
        <v>13</v>
      </c>
      <c r="F338" s="6">
        <v>30</v>
      </c>
      <c r="G338" s="6" t="s">
        <v>231</v>
      </c>
      <c r="H338" s="6" t="s">
        <v>232</v>
      </c>
      <c r="I338" s="6" t="s">
        <v>19</v>
      </c>
      <c r="J338" s="6" t="s">
        <v>20</v>
      </c>
      <c r="K338" s="7">
        <v>10.53</v>
      </c>
    </row>
    <row r="339" spans="1:11" s="4" customFormat="1" ht="20.399999999999999" x14ac:dyDescent="0.2">
      <c r="A339" s="6" t="str">
        <f>"0010450030"</f>
        <v>0010450030</v>
      </c>
      <c r="B339" s="6" t="str">
        <f>"047523"</f>
        <v>047523</v>
      </c>
      <c r="C339" s="6" t="s">
        <v>234</v>
      </c>
      <c r="D339" s="6" t="s">
        <v>154</v>
      </c>
      <c r="E339" s="6" t="s">
        <v>13</v>
      </c>
      <c r="F339" s="6">
        <v>28</v>
      </c>
      <c r="G339" s="6" t="s">
        <v>231</v>
      </c>
      <c r="H339" s="6" t="s">
        <v>232</v>
      </c>
      <c r="I339" s="6" t="s">
        <v>124</v>
      </c>
      <c r="J339" s="6" t="s">
        <v>20</v>
      </c>
      <c r="K339" s="7">
        <v>9.83</v>
      </c>
    </row>
    <row r="340" spans="1:11" s="4" customFormat="1" ht="10.199999999999999" x14ac:dyDescent="0.2">
      <c r="A340" s="6" t="str">
        <f>"0010450030"</f>
        <v>0010450030</v>
      </c>
      <c r="B340" s="6" t="str">
        <f>"050015"</f>
        <v>050015</v>
      </c>
      <c r="C340" s="6" t="s">
        <v>235</v>
      </c>
      <c r="D340" s="6" t="s">
        <v>154</v>
      </c>
      <c r="E340" s="6" t="s">
        <v>13</v>
      </c>
      <c r="F340" s="6">
        <v>28</v>
      </c>
      <c r="G340" s="6" t="s">
        <v>231</v>
      </c>
      <c r="H340" s="6" t="s">
        <v>232</v>
      </c>
      <c r="I340" s="6" t="s">
        <v>28</v>
      </c>
      <c r="J340" s="6" t="s">
        <v>20</v>
      </c>
      <c r="K340" s="7">
        <v>9.83</v>
      </c>
    </row>
    <row r="341" spans="1:11" s="4" customFormat="1" ht="10.199999999999999" x14ac:dyDescent="0.2">
      <c r="A341" s="6" t="str">
        <f>"0010450030"</f>
        <v>0010450030</v>
      </c>
      <c r="B341" s="6" t="str">
        <f>"030525"</f>
        <v>030525</v>
      </c>
      <c r="C341" s="6" t="s">
        <v>236</v>
      </c>
      <c r="D341" s="6" t="s">
        <v>154</v>
      </c>
      <c r="E341" s="6" t="s">
        <v>13</v>
      </c>
      <c r="F341" s="6">
        <v>28</v>
      </c>
      <c r="G341" s="6" t="s">
        <v>231</v>
      </c>
      <c r="H341" s="6" t="s">
        <v>232</v>
      </c>
      <c r="I341" s="6" t="s">
        <v>65</v>
      </c>
      <c r="J341" s="6" t="s">
        <v>20</v>
      </c>
      <c r="K341" s="7">
        <v>9.83</v>
      </c>
    </row>
    <row r="342" spans="1:11" s="4" customFormat="1" ht="10.199999999999999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7"/>
    </row>
    <row r="343" spans="1:11" s="4" customFormat="1" ht="10.199999999999999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7"/>
    </row>
    <row r="344" spans="1:11" s="4" customFormat="1" ht="10.199999999999999" x14ac:dyDescent="0.2">
      <c r="A344" s="6" t="str">
        <f>"0010450100"</f>
        <v>0010450100</v>
      </c>
      <c r="B344" s="6" t="str">
        <f>"079061"</f>
        <v>079061</v>
      </c>
      <c r="C344" s="6" t="s">
        <v>229</v>
      </c>
      <c r="D344" s="6" t="s">
        <v>154</v>
      </c>
      <c r="E344" s="6" t="s">
        <v>13</v>
      </c>
      <c r="F344" s="6">
        <v>98</v>
      </c>
      <c r="G344" s="6" t="s">
        <v>231</v>
      </c>
      <c r="H344" s="6" t="s">
        <v>232</v>
      </c>
      <c r="I344" s="6" t="s">
        <v>207</v>
      </c>
      <c r="J344" s="6" t="s">
        <v>17</v>
      </c>
      <c r="K344" s="7">
        <v>52.25</v>
      </c>
    </row>
    <row r="345" spans="1:11" s="4" customFormat="1" ht="10.199999999999999" x14ac:dyDescent="0.2">
      <c r="A345" s="6" t="str">
        <f>"0010450100"</f>
        <v>0010450100</v>
      </c>
      <c r="B345" s="6" t="str">
        <f>"198582"</f>
        <v>198582</v>
      </c>
      <c r="C345" s="6" t="s">
        <v>233</v>
      </c>
      <c r="D345" s="6" t="s">
        <v>154</v>
      </c>
      <c r="E345" s="6" t="s">
        <v>13</v>
      </c>
      <c r="F345" s="6">
        <v>100</v>
      </c>
      <c r="G345" s="6" t="s">
        <v>231</v>
      </c>
      <c r="H345" s="6" t="s">
        <v>232</v>
      </c>
      <c r="I345" s="6" t="s">
        <v>19</v>
      </c>
      <c r="J345" s="6" t="s">
        <v>20</v>
      </c>
      <c r="K345" s="7">
        <v>36.119999999999997</v>
      </c>
    </row>
    <row r="346" spans="1:11" s="4" customFormat="1" ht="20.399999999999999" x14ac:dyDescent="0.2">
      <c r="A346" s="6" t="str">
        <f>"0010450100"</f>
        <v>0010450100</v>
      </c>
      <c r="B346" s="6" t="str">
        <f>"047534"</f>
        <v>047534</v>
      </c>
      <c r="C346" s="6" t="s">
        <v>234</v>
      </c>
      <c r="D346" s="6" t="s">
        <v>154</v>
      </c>
      <c r="E346" s="6" t="s">
        <v>13</v>
      </c>
      <c r="F346" s="6">
        <v>98</v>
      </c>
      <c r="G346" s="6" t="s">
        <v>231</v>
      </c>
      <c r="H346" s="6" t="s">
        <v>232</v>
      </c>
      <c r="I346" s="6" t="s">
        <v>124</v>
      </c>
      <c r="J346" s="6" t="s">
        <v>20</v>
      </c>
      <c r="K346" s="7">
        <v>35.4</v>
      </c>
    </row>
    <row r="347" spans="1:11" s="4" customFormat="1" ht="10.199999999999999" x14ac:dyDescent="0.2">
      <c r="A347" s="6" t="str">
        <f>"0010450100"</f>
        <v>0010450100</v>
      </c>
      <c r="B347" s="6" t="str">
        <f>"050469"</f>
        <v>050469</v>
      </c>
      <c r="C347" s="6" t="s">
        <v>235</v>
      </c>
      <c r="D347" s="6" t="s">
        <v>154</v>
      </c>
      <c r="E347" s="6" t="s">
        <v>13</v>
      </c>
      <c r="F347" s="6">
        <v>98</v>
      </c>
      <c r="G347" s="6" t="s">
        <v>231</v>
      </c>
      <c r="H347" s="6" t="s">
        <v>232</v>
      </c>
      <c r="I347" s="6" t="s">
        <v>28</v>
      </c>
      <c r="J347" s="6" t="s">
        <v>20</v>
      </c>
      <c r="K347" s="7">
        <v>35.4</v>
      </c>
    </row>
    <row r="348" spans="1:11" s="4" customFormat="1" ht="10.199999999999999" x14ac:dyDescent="0.2">
      <c r="A348" s="6" t="str">
        <f>"0010450100"</f>
        <v>0010450100</v>
      </c>
      <c r="B348" s="6" t="str">
        <f>"030468"</f>
        <v>030468</v>
      </c>
      <c r="C348" s="6" t="s">
        <v>236</v>
      </c>
      <c r="D348" s="6" t="s">
        <v>154</v>
      </c>
      <c r="E348" s="6" t="s">
        <v>13</v>
      </c>
      <c r="F348" s="6">
        <v>98</v>
      </c>
      <c r="G348" s="6" t="s">
        <v>231</v>
      </c>
      <c r="H348" s="6" t="s">
        <v>232</v>
      </c>
      <c r="I348" s="6" t="s">
        <v>65</v>
      </c>
      <c r="J348" s="6" t="s">
        <v>20</v>
      </c>
      <c r="K348" s="7">
        <v>35.4</v>
      </c>
    </row>
    <row r="349" spans="1:11" s="4" customFormat="1" ht="10.199999999999999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7"/>
    </row>
    <row r="350" spans="1:11" s="4" customFormat="1" ht="10.199999999999999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7"/>
    </row>
    <row r="351" spans="1:11" s="4" customFormat="1" ht="10.199999999999999" x14ac:dyDescent="0.2">
      <c r="A351" s="6" t="str">
        <f t="shared" ref="A351:A356" si="2">"0010470030"</f>
        <v>0010470030</v>
      </c>
      <c r="B351" s="6" t="str">
        <f>"005910"</f>
        <v>005910</v>
      </c>
      <c r="C351" s="6" t="s">
        <v>238</v>
      </c>
      <c r="D351" s="6" t="s">
        <v>239</v>
      </c>
      <c r="E351" s="6" t="s">
        <v>13</v>
      </c>
      <c r="F351" s="6">
        <v>28</v>
      </c>
      <c r="G351" s="6" t="s">
        <v>240</v>
      </c>
      <c r="H351" s="6" t="s">
        <v>241</v>
      </c>
      <c r="I351" s="6" t="s">
        <v>63</v>
      </c>
      <c r="J351" s="6" t="s">
        <v>17</v>
      </c>
      <c r="K351" s="7">
        <v>17.55</v>
      </c>
    </row>
    <row r="352" spans="1:11" s="4" customFormat="1" ht="10.199999999999999" x14ac:dyDescent="0.2">
      <c r="A352" s="6" t="str">
        <f t="shared" si="2"/>
        <v>0010470030</v>
      </c>
      <c r="B352" s="6" t="str">
        <f>"135050"</f>
        <v>135050</v>
      </c>
      <c r="C352" s="6" t="s">
        <v>242</v>
      </c>
      <c r="D352" s="6" t="s">
        <v>239</v>
      </c>
      <c r="E352" s="6" t="s">
        <v>13</v>
      </c>
      <c r="F352" s="6">
        <v>28</v>
      </c>
      <c r="G352" s="6" t="s">
        <v>240</v>
      </c>
      <c r="H352" s="6" t="s">
        <v>241</v>
      </c>
      <c r="I352" s="6" t="s">
        <v>28</v>
      </c>
      <c r="J352" s="6" t="s">
        <v>20</v>
      </c>
      <c r="K352" s="7">
        <v>10.53</v>
      </c>
    </row>
    <row r="353" spans="1:11" s="4" customFormat="1" ht="10.199999999999999" x14ac:dyDescent="0.2">
      <c r="A353" s="6" t="str">
        <f t="shared" si="2"/>
        <v>0010470030</v>
      </c>
      <c r="B353" s="6" t="str">
        <f>"156429"</f>
        <v>156429</v>
      </c>
      <c r="C353" s="6" t="s">
        <v>243</v>
      </c>
      <c r="D353" s="6" t="s">
        <v>239</v>
      </c>
      <c r="E353" s="6" t="s">
        <v>13</v>
      </c>
      <c r="F353" s="6">
        <v>28</v>
      </c>
      <c r="G353" s="6" t="s">
        <v>240</v>
      </c>
      <c r="H353" s="6" t="s">
        <v>241</v>
      </c>
      <c r="I353" s="6" t="s">
        <v>35</v>
      </c>
      <c r="J353" s="6" t="s">
        <v>20</v>
      </c>
      <c r="K353" s="7">
        <v>10.53</v>
      </c>
    </row>
    <row r="354" spans="1:11" s="4" customFormat="1" ht="10.199999999999999" x14ac:dyDescent="0.2">
      <c r="A354" s="6" t="str">
        <f t="shared" si="2"/>
        <v>0010470030</v>
      </c>
      <c r="B354" s="6" t="str">
        <f>"388858"</f>
        <v>388858</v>
      </c>
      <c r="C354" s="6" t="s">
        <v>244</v>
      </c>
      <c r="D354" s="6" t="s">
        <v>239</v>
      </c>
      <c r="E354" s="6" t="s">
        <v>13</v>
      </c>
      <c r="F354" s="6">
        <v>28</v>
      </c>
      <c r="G354" s="6" t="s">
        <v>240</v>
      </c>
      <c r="H354" s="6" t="s">
        <v>241</v>
      </c>
      <c r="I354" s="6" t="s">
        <v>37</v>
      </c>
      <c r="J354" s="6" t="s">
        <v>20</v>
      </c>
      <c r="K354" s="7">
        <v>10.53</v>
      </c>
    </row>
    <row r="355" spans="1:11" s="4" customFormat="1" ht="10.199999999999999" x14ac:dyDescent="0.2">
      <c r="A355" s="6" t="str">
        <f t="shared" si="2"/>
        <v>0010470030</v>
      </c>
      <c r="B355" s="6" t="str">
        <f>"445415"</f>
        <v>445415</v>
      </c>
      <c r="C355" s="6" t="s">
        <v>245</v>
      </c>
      <c r="D355" s="6" t="s">
        <v>239</v>
      </c>
      <c r="E355" s="6" t="s">
        <v>13</v>
      </c>
      <c r="F355" s="6">
        <v>28</v>
      </c>
      <c r="G355" s="6" t="s">
        <v>240</v>
      </c>
      <c r="H355" s="6" t="s">
        <v>241</v>
      </c>
      <c r="I355" s="6" t="s">
        <v>19</v>
      </c>
      <c r="J355" s="6" t="s">
        <v>20</v>
      </c>
      <c r="K355" s="7">
        <v>10.53</v>
      </c>
    </row>
    <row r="356" spans="1:11" s="4" customFormat="1" ht="10.199999999999999" x14ac:dyDescent="0.2">
      <c r="A356" s="6" t="str">
        <f t="shared" si="2"/>
        <v>0010470030</v>
      </c>
      <c r="B356" s="6" t="str">
        <f>"516990"</f>
        <v>516990</v>
      </c>
      <c r="C356" s="6" t="s">
        <v>246</v>
      </c>
      <c r="D356" s="6" t="s">
        <v>239</v>
      </c>
      <c r="E356" s="6" t="s">
        <v>13</v>
      </c>
      <c r="F356" s="6">
        <v>28</v>
      </c>
      <c r="G356" s="6" t="s">
        <v>240</v>
      </c>
      <c r="H356" s="6" t="s">
        <v>241</v>
      </c>
      <c r="I356" s="6" t="s">
        <v>65</v>
      </c>
      <c r="J356" s="6" t="s">
        <v>20</v>
      </c>
      <c r="K356" s="7">
        <v>10.53</v>
      </c>
    </row>
    <row r="357" spans="1:11" s="4" customFormat="1" ht="10.199999999999999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7"/>
    </row>
    <row r="358" spans="1:11" s="4" customFormat="1" ht="10.199999999999999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7"/>
    </row>
    <row r="359" spans="1:11" s="4" customFormat="1" ht="10.199999999999999" x14ac:dyDescent="0.2">
      <c r="A359" s="6" t="str">
        <f t="shared" ref="A359:A364" si="3">"0010470100"</f>
        <v>0010470100</v>
      </c>
      <c r="B359" s="6" t="str">
        <f>"005932"</f>
        <v>005932</v>
      </c>
      <c r="C359" s="6" t="s">
        <v>238</v>
      </c>
      <c r="D359" s="6" t="s">
        <v>239</v>
      </c>
      <c r="E359" s="6" t="s">
        <v>13</v>
      </c>
      <c r="F359" s="6">
        <v>98</v>
      </c>
      <c r="G359" s="6" t="s">
        <v>240</v>
      </c>
      <c r="H359" s="6" t="s">
        <v>241</v>
      </c>
      <c r="I359" s="6" t="s">
        <v>63</v>
      </c>
      <c r="J359" s="6" t="s">
        <v>17</v>
      </c>
      <c r="K359" s="7">
        <v>54.9</v>
      </c>
    </row>
    <row r="360" spans="1:11" s="4" customFormat="1" ht="10.199999999999999" x14ac:dyDescent="0.2">
      <c r="A360" s="6" t="str">
        <f t="shared" si="3"/>
        <v>0010470100</v>
      </c>
      <c r="B360" s="6" t="str">
        <f>"135062"</f>
        <v>135062</v>
      </c>
      <c r="C360" s="6" t="s">
        <v>242</v>
      </c>
      <c r="D360" s="6" t="s">
        <v>239</v>
      </c>
      <c r="E360" s="6" t="s">
        <v>13</v>
      </c>
      <c r="F360" s="6">
        <v>98</v>
      </c>
      <c r="G360" s="6" t="s">
        <v>240</v>
      </c>
      <c r="H360" s="6" t="s">
        <v>241</v>
      </c>
      <c r="I360" s="6" t="s">
        <v>28</v>
      </c>
      <c r="J360" s="6" t="s">
        <v>20</v>
      </c>
      <c r="K360" s="7">
        <v>32.94</v>
      </c>
    </row>
    <row r="361" spans="1:11" s="4" customFormat="1" ht="10.199999999999999" x14ac:dyDescent="0.2">
      <c r="A361" s="6" t="str">
        <f t="shared" si="3"/>
        <v>0010470100</v>
      </c>
      <c r="B361" s="6" t="str">
        <f>"156440"</f>
        <v>156440</v>
      </c>
      <c r="C361" s="6" t="s">
        <v>243</v>
      </c>
      <c r="D361" s="6" t="s">
        <v>239</v>
      </c>
      <c r="E361" s="6" t="s">
        <v>13</v>
      </c>
      <c r="F361" s="6">
        <v>98</v>
      </c>
      <c r="G361" s="6" t="s">
        <v>240</v>
      </c>
      <c r="H361" s="6" t="s">
        <v>241</v>
      </c>
      <c r="I361" s="6" t="s">
        <v>35</v>
      </c>
      <c r="J361" s="6" t="s">
        <v>20</v>
      </c>
      <c r="K361" s="7">
        <v>32.94</v>
      </c>
    </row>
    <row r="362" spans="1:11" s="4" customFormat="1" ht="10.199999999999999" x14ac:dyDescent="0.2">
      <c r="A362" s="6" t="str">
        <f t="shared" si="3"/>
        <v>0010470100</v>
      </c>
      <c r="B362" s="6" t="str">
        <f>"158623"</f>
        <v>158623</v>
      </c>
      <c r="C362" s="6" t="s">
        <v>244</v>
      </c>
      <c r="D362" s="6" t="s">
        <v>239</v>
      </c>
      <c r="E362" s="6" t="s">
        <v>13</v>
      </c>
      <c r="F362" s="6">
        <v>98</v>
      </c>
      <c r="G362" s="6" t="s">
        <v>240</v>
      </c>
      <c r="H362" s="6" t="s">
        <v>241</v>
      </c>
      <c r="I362" s="6" t="s">
        <v>37</v>
      </c>
      <c r="J362" s="6" t="s">
        <v>20</v>
      </c>
      <c r="K362" s="7">
        <v>32.94</v>
      </c>
    </row>
    <row r="363" spans="1:11" s="4" customFormat="1" ht="10.199999999999999" x14ac:dyDescent="0.2">
      <c r="A363" s="6" t="str">
        <f t="shared" si="3"/>
        <v>0010470100</v>
      </c>
      <c r="B363" s="6" t="str">
        <f>"444001"</f>
        <v>444001</v>
      </c>
      <c r="C363" s="6" t="s">
        <v>246</v>
      </c>
      <c r="D363" s="6" t="s">
        <v>239</v>
      </c>
      <c r="E363" s="6" t="s">
        <v>13</v>
      </c>
      <c r="F363" s="6">
        <v>98</v>
      </c>
      <c r="G363" s="6" t="s">
        <v>240</v>
      </c>
      <c r="H363" s="6" t="s">
        <v>241</v>
      </c>
      <c r="I363" s="6" t="s">
        <v>65</v>
      </c>
      <c r="J363" s="6" t="s">
        <v>20</v>
      </c>
      <c r="K363" s="7">
        <v>32.94</v>
      </c>
    </row>
    <row r="364" spans="1:11" s="4" customFormat="1" ht="10.199999999999999" x14ac:dyDescent="0.2">
      <c r="A364" s="6" t="str">
        <f t="shared" si="3"/>
        <v>0010470100</v>
      </c>
      <c r="B364" s="6" t="str">
        <f>"538696"</f>
        <v>538696</v>
      </c>
      <c r="C364" s="6" t="s">
        <v>245</v>
      </c>
      <c r="D364" s="6" t="s">
        <v>239</v>
      </c>
      <c r="E364" s="6" t="s">
        <v>13</v>
      </c>
      <c r="F364" s="6">
        <v>98</v>
      </c>
      <c r="G364" s="6" t="s">
        <v>240</v>
      </c>
      <c r="H364" s="6" t="s">
        <v>241</v>
      </c>
      <c r="I364" s="6" t="s">
        <v>19</v>
      </c>
      <c r="J364" s="6" t="s">
        <v>20</v>
      </c>
      <c r="K364" s="7">
        <v>32.94</v>
      </c>
    </row>
    <row r="365" spans="1:11" s="4" customFormat="1" ht="10.199999999999999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7"/>
    </row>
    <row r="366" spans="1:11" s="4" customFormat="1" ht="10.199999999999999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7"/>
    </row>
    <row r="367" spans="1:11" s="4" customFormat="1" ht="10.199999999999999" x14ac:dyDescent="0.2">
      <c r="A367" s="6" t="str">
        <f>"0010480030"</f>
        <v>0010480030</v>
      </c>
      <c r="B367" s="6" t="str">
        <f>"005954"</f>
        <v>005954</v>
      </c>
      <c r="C367" s="6" t="s">
        <v>238</v>
      </c>
      <c r="D367" s="6" t="s">
        <v>247</v>
      </c>
      <c r="E367" s="6" t="s">
        <v>13</v>
      </c>
      <c r="F367" s="6">
        <v>28</v>
      </c>
      <c r="G367" s="6" t="s">
        <v>240</v>
      </c>
      <c r="H367" s="6" t="s">
        <v>241</v>
      </c>
      <c r="I367" s="6" t="s">
        <v>63</v>
      </c>
      <c r="J367" s="6" t="s">
        <v>17</v>
      </c>
      <c r="K367" s="7">
        <v>21.05</v>
      </c>
    </row>
    <row r="368" spans="1:11" s="4" customFormat="1" ht="10.199999999999999" x14ac:dyDescent="0.2">
      <c r="A368" s="6" t="str">
        <f>"0010480030"</f>
        <v>0010480030</v>
      </c>
      <c r="B368" s="6" t="str">
        <f>"135073"</f>
        <v>135073</v>
      </c>
      <c r="C368" s="6" t="s">
        <v>242</v>
      </c>
      <c r="D368" s="6" t="s">
        <v>247</v>
      </c>
      <c r="E368" s="6" t="s">
        <v>13</v>
      </c>
      <c r="F368" s="6">
        <v>28</v>
      </c>
      <c r="G368" s="6" t="s">
        <v>240</v>
      </c>
      <c r="H368" s="6" t="s">
        <v>241</v>
      </c>
      <c r="I368" s="6" t="s">
        <v>28</v>
      </c>
      <c r="J368" s="6" t="s">
        <v>20</v>
      </c>
      <c r="K368" s="7">
        <v>12.63</v>
      </c>
    </row>
    <row r="369" spans="1:11" s="4" customFormat="1" ht="10.199999999999999" x14ac:dyDescent="0.2">
      <c r="A369" s="6" t="str">
        <f>"0010480030"</f>
        <v>0010480030</v>
      </c>
      <c r="B369" s="6" t="str">
        <f>"156451"</f>
        <v>156451</v>
      </c>
      <c r="C369" s="6" t="s">
        <v>243</v>
      </c>
      <c r="D369" s="6" t="s">
        <v>247</v>
      </c>
      <c r="E369" s="6" t="s">
        <v>13</v>
      </c>
      <c r="F369" s="6">
        <v>28</v>
      </c>
      <c r="G369" s="6" t="s">
        <v>240</v>
      </c>
      <c r="H369" s="6" t="s">
        <v>241</v>
      </c>
      <c r="I369" s="6" t="s">
        <v>35</v>
      </c>
      <c r="J369" s="6" t="s">
        <v>20</v>
      </c>
      <c r="K369" s="7">
        <v>12.63</v>
      </c>
    </row>
    <row r="370" spans="1:11" s="4" customFormat="1" ht="10.199999999999999" x14ac:dyDescent="0.2">
      <c r="A370" s="6" t="str">
        <f>"0010480030"</f>
        <v>0010480030</v>
      </c>
      <c r="B370" s="6" t="str">
        <f>"499161"</f>
        <v>499161</v>
      </c>
      <c r="C370" s="6" t="s">
        <v>244</v>
      </c>
      <c r="D370" s="6" t="s">
        <v>247</v>
      </c>
      <c r="E370" s="6" t="s">
        <v>13</v>
      </c>
      <c r="F370" s="6">
        <v>28</v>
      </c>
      <c r="G370" s="6" t="s">
        <v>240</v>
      </c>
      <c r="H370" s="6" t="s">
        <v>241</v>
      </c>
      <c r="I370" s="6" t="s">
        <v>37</v>
      </c>
      <c r="J370" s="6" t="s">
        <v>20</v>
      </c>
      <c r="K370" s="7">
        <v>12.63</v>
      </c>
    </row>
    <row r="371" spans="1:11" s="4" customFormat="1" ht="10.199999999999999" x14ac:dyDescent="0.2">
      <c r="A371" s="6" t="str">
        <f>"0010480030"</f>
        <v>0010480030</v>
      </c>
      <c r="B371" s="6" t="str">
        <f>"595392"</f>
        <v>595392</v>
      </c>
      <c r="C371" s="6" t="s">
        <v>245</v>
      </c>
      <c r="D371" s="6" t="s">
        <v>247</v>
      </c>
      <c r="E371" s="6" t="s">
        <v>13</v>
      </c>
      <c r="F371" s="6">
        <v>28</v>
      </c>
      <c r="G371" s="6" t="s">
        <v>240</v>
      </c>
      <c r="H371" s="6" t="s">
        <v>241</v>
      </c>
      <c r="I371" s="6" t="s">
        <v>19</v>
      </c>
      <c r="J371" s="6" t="s">
        <v>20</v>
      </c>
      <c r="K371" s="7">
        <v>12.63</v>
      </c>
    </row>
    <row r="372" spans="1:11" s="4" customFormat="1" ht="10.199999999999999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7"/>
    </row>
    <row r="373" spans="1:11" s="4" customFormat="1" ht="10.199999999999999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7"/>
    </row>
    <row r="374" spans="1:11" s="4" customFormat="1" ht="10.199999999999999" x14ac:dyDescent="0.2">
      <c r="A374" s="6" t="str">
        <f t="shared" ref="A374:A379" si="4">"0010480100"</f>
        <v>0010480100</v>
      </c>
      <c r="B374" s="6" t="str">
        <f>"005976"</f>
        <v>005976</v>
      </c>
      <c r="C374" s="6" t="s">
        <v>238</v>
      </c>
      <c r="D374" s="6" t="s">
        <v>247</v>
      </c>
      <c r="E374" s="6" t="s">
        <v>13</v>
      </c>
      <c r="F374" s="6">
        <v>98</v>
      </c>
      <c r="G374" s="6" t="s">
        <v>240</v>
      </c>
      <c r="H374" s="6" t="s">
        <v>241</v>
      </c>
      <c r="I374" s="6" t="s">
        <v>63</v>
      </c>
      <c r="J374" s="6" t="s">
        <v>17</v>
      </c>
      <c r="K374" s="7">
        <v>66.930000000000007</v>
      </c>
    </row>
    <row r="375" spans="1:11" s="4" customFormat="1" ht="10.199999999999999" x14ac:dyDescent="0.2">
      <c r="A375" s="6" t="str">
        <f t="shared" si="4"/>
        <v>0010480100</v>
      </c>
      <c r="B375" s="6" t="str">
        <f>"079364"</f>
        <v>079364</v>
      </c>
      <c r="C375" s="6" t="s">
        <v>246</v>
      </c>
      <c r="D375" s="6" t="s">
        <v>247</v>
      </c>
      <c r="E375" s="6" t="s">
        <v>13</v>
      </c>
      <c r="F375" s="6">
        <v>98</v>
      </c>
      <c r="G375" s="6" t="s">
        <v>240</v>
      </c>
      <c r="H375" s="6" t="s">
        <v>241</v>
      </c>
      <c r="I375" s="6" t="s">
        <v>65</v>
      </c>
      <c r="J375" s="6" t="s">
        <v>20</v>
      </c>
      <c r="K375" s="7">
        <v>40.159999999999997</v>
      </c>
    </row>
    <row r="376" spans="1:11" s="4" customFormat="1" ht="10.199999999999999" x14ac:dyDescent="0.2">
      <c r="A376" s="6" t="str">
        <f t="shared" si="4"/>
        <v>0010480100</v>
      </c>
      <c r="B376" s="6" t="str">
        <f>"135084"</f>
        <v>135084</v>
      </c>
      <c r="C376" s="6" t="s">
        <v>242</v>
      </c>
      <c r="D376" s="6" t="s">
        <v>247</v>
      </c>
      <c r="E376" s="6" t="s">
        <v>13</v>
      </c>
      <c r="F376" s="6">
        <v>98</v>
      </c>
      <c r="G376" s="6" t="s">
        <v>240</v>
      </c>
      <c r="H376" s="6" t="s">
        <v>241</v>
      </c>
      <c r="I376" s="6" t="s">
        <v>28</v>
      </c>
      <c r="J376" s="6" t="s">
        <v>20</v>
      </c>
      <c r="K376" s="7">
        <v>40.159999999999997</v>
      </c>
    </row>
    <row r="377" spans="1:11" s="4" customFormat="1" ht="10.199999999999999" x14ac:dyDescent="0.2">
      <c r="A377" s="6" t="str">
        <f t="shared" si="4"/>
        <v>0010480100</v>
      </c>
      <c r="B377" s="6" t="str">
        <f>"156462"</f>
        <v>156462</v>
      </c>
      <c r="C377" s="6" t="s">
        <v>243</v>
      </c>
      <c r="D377" s="6" t="s">
        <v>247</v>
      </c>
      <c r="E377" s="6" t="s">
        <v>13</v>
      </c>
      <c r="F377" s="6">
        <v>98</v>
      </c>
      <c r="G377" s="6" t="s">
        <v>240</v>
      </c>
      <c r="H377" s="6" t="s">
        <v>241</v>
      </c>
      <c r="I377" s="6" t="s">
        <v>35</v>
      </c>
      <c r="J377" s="6" t="s">
        <v>20</v>
      </c>
      <c r="K377" s="7">
        <v>40.159999999999997</v>
      </c>
    </row>
    <row r="378" spans="1:11" s="4" customFormat="1" ht="10.199999999999999" x14ac:dyDescent="0.2">
      <c r="A378" s="6" t="str">
        <f t="shared" si="4"/>
        <v>0010480100</v>
      </c>
      <c r="B378" s="6" t="str">
        <f>"395732"</f>
        <v>395732</v>
      </c>
      <c r="C378" s="6" t="s">
        <v>245</v>
      </c>
      <c r="D378" s="6" t="s">
        <v>247</v>
      </c>
      <c r="E378" s="6" t="s">
        <v>13</v>
      </c>
      <c r="F378" s="6">
        <v>98</v>
      </c>
      <c r="G378" s="6" t="s">
        <v>240</v>
      </c>
      <c r="H378" s="6" t="s">
        <v>241</v>
      </c>
      <c r="I378" s="6" t="s">
        <v>19</v>
      </c>
      <c r="J378" s="6" t="s">
        <v>20</v>
      </c>
      <c r="K378" s="7">
        <v>40.159999999999997</v>
      </c>
    </row>
    <row r="379" spans="1:11" s="4" customFormat="1" ht="10.199999999999999" x14ac:dyDescent="0.2">
      <c r="A379" s="6" t="str">
        <f t="shared" si="4"/>
        <v>0010480100</v>
      </c>
      <c r="B379" s="6" t="str">
        <f>"580821"</f>
        <v>580821</v>
      </c>
      <c r="C379" s="6" t="s">
        <v>244</v>
      </c>
      <c r="D379" s="6" t="s">
        <v>247</v>
      </c>
      <c r="E379" s="6" t="s">
        <v>13</v>
      </c>
      <c r="F379" s="6">
        <v>98</v>
      </c>
      <c r="G379" s="6" t="s">
        <v>240</v>
      </c>
      <c r="H379" s="6" t="s">
        <v>241</v>
      </c>
      <c r="I379" s="6" t="s">
        <v>37</v>
      </c>
      <c r="J379" s="6" t="s">
        <v>20</v>
      </c>
      <c r="K379" s="7">
        <v>40.159999999999997</v>
      </c>
    </row>
    <row r="380" spans="1:11" s="4" customFormat="1" ht="10.199999999999999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7"/>
    </row>
    <row r="381" spans="1:11" s="4" customFormat="1" ht="10.199999999999999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7"/>
    </row>
    <row r="382" spans="1:11" s="4" customFormat="1" ht="10.199999999999999" x14ac:dyDescent="0.2">
      <c r="A382" s="6" t="str">
        <f>"0011670030"</f>
        <v>0011670030</v>
      </c>
      <c r="B382" s="6" t="str">
        <f>"025455"</f>
        <v>025455</v>
      </c>
      <c r="C382" s="6" t="s">
        <v>238</v>
      </c>
      <c r="D382" s="6" t="s">
        <v>248</v>
      </c>
      <c r="E382" s="6" t="s">
        <v>13</v>
      </c>
      <c r="F382" s="6">
        <v>28</v>
      </c>
      <c r="G382" s="6" t="s">
        <v>240</v>
      </c>
      <c r="H382" s="6" t="s">
        <v>241</v>
      </c>
      <c r="I382" s="6" t="s">
        <v>63</v>
      </c>
      <c r="J382" s="6" t="s">
        <v>17</v>
      </c>
      <c r="K382" s="7">
        <v>25.26</v>
      </c>
    </row>
    <row r="383" spans="1:11" s="4" customFormat="1" ht="10.199999999999999" x14ac:dyDescent="0.2">
      <c r="A383" s="6" t="str">
        <f>"0011670030"</f>
        <v>0011670030</v>
      </c>
      <c r="B383" s="6" t="str">
        <f>"082931"</f>
        <v>082931</v>
      </c>
      <c r="C383" s="6" t="s">
        <v>243</v>
      </c>
      <c r="D383" s="6" t="s">
        <v>248</v>
      </c>
      <c r="E383" s="6" t="s">
        <v>13</v>
      </c>
      <c r="F383" s="6">
        <v>28</v>
      </c>
      <c r="G383" s="6" t="s">
        <v>240</v>
      </c>
      <c r="H383" s="6" t="s">
        <v>241</v>
      </c>
      <c r="I383" s="6" t="s">
        <v>35</v>
      </c>
      <c r="J383" s="6" t="s">
        <v>20</v>
      </c>
      <c r="K383" s="7">
        <v>15.16</v>
      </c>
    </row>
    <row r="384" spans="1:11" s="4" customFormat="1" ht="10.199999999999999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7"/>
    </row>
    <row r="385" spans="1:11" s="4" customFormat="1" ht="10.199999999999999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7"/>
    </row>
    <row r="386" spans="1:11" s="4" customFormat="1" ht="10.199999999999999" x14ac:dyDescent="0.2">
      <c r="A386" s="6" t="str">
        <f>"0011670100"</f>
        <v>0011670100</v>
      </c>
      <c r="B386" s="6" t="str">
        <f>"025444"</f>
        <v>025444</v>
      </c>
      <c r="C386" s="6" t="s">
        <v>238</v>
      </c>
      <c r="D386" s="6" t="s">
        <v>248</v>
      </c>
      <c r="E386" s="6" t="s">
        <v>13</v>
      </c>
      <c r="F386" s="6">
        <v>98</v>
      </c>
      <c r="G386" s="6" t="s">
        <v>240</v>
      </c>
      <c r="H386" s="6" t="s">
        <v>241</v>
      </c>
      <c r="I386" s="6" t="s">
        <v>63</v>
      </c>
      <c r="J386" s="6" t="s">
        <v>17</v>
      </c>
      <c r="K386" s="7">
        <v>80.319999999999993</v>
      </c>
    </row>
    <row r="387" spans="1:11" s="4" customFormat="1" ht="10.199999999999999" x14ac:dyDescent="0.2">
      <c r="A387" s="6" t="str">
        <f>"0011670100"</f>
        <v>0011670100</v>
      </c>
      <c r="B387" s="6" t="str">
        <f>"094356"</f>
        <v>094356</v>
      </c>
      <c r="C387" s="6" t="s">
        <v>242</v>
      </c>
      <c r="D387" s="6" t="s">
        <v>248</v>
      </c>
      <c r="E387" s="6" t="s">
        <v>13</v>
      </c>
      <c r="F387" s="6">
        <v>98</v>
      </c>
      <c r="G387" s="6" t="s">
        <v>240</v>
      </c>
      <c r="H387" s="6" t="s">
        <v>241</v>
      </c>
      <c r="I387" s="6" t="s">
        <v>28</v>
      </c>
      <c r="J387" s="6" t="s">
        <v>20</v>
      </c>
      <c r="K387" s="7">
        <v>48.19</v>
      </c>
    </row>
    <row r="388" spans="1:11" s="4" customFormat="1" ht="10.199999999999999" x14ac:dyDescent="0.2">
      <c r="A388" s="6" t="str">
        <f>"0011670100"</f>
        <v>0011670100</v>
      </c>
      <c r="B388" s="6" t="str">
        <f>"179067"</f>
        <v>179067</v>
      </c>
      <c r="C388" s="6" t="s">
        <v>243</v>
      </c>
      <c r="D388" s="6" t="s">
        <v>248</v>
      </c>
      <c r="E388" s="6" t="s">
        <v>13</v>
      </c>
      <c r="F388" s="6">
        <v>98</v>
      </c>
      <c r="G388" s="6" t="s">
        <v>240</v>
      </c>
      <c r="H388" s="6" t="s">
        <v>241</v>
      </c>
      <c r="I388" s="6" t="s">
        <v>35</v>
      </c>
      <c r="J388" s="6" t="s">
        <v>20</v>
      </c>
      <c r="K388" s="7">
        <v>48.19</v>
      </c>
    </row>
    <row r="389" spans="1:11" s="4" customFormat="1" ht="10.199999999999999" x14ac:dyDescent="0.2">
      <c r="A389" s="6" t="str">
        <f>"0011670100"</f>
        <v>0011670100</v>
      </c>
      <c r="B389" s="6" t="str">
        <f>"182393"</f>
        <v>182393</v>
      </c>
      <c r="C389" s="6" t="s">
        <v>245</v>
      </c>
      <c r="D389" s="6" t="s">
        <v>248</v>
      </c>
      <c r="E389" s="6" t="s">
        <v>13</v>
      </c>
      <c r="F389" s="6">
        <v>98</v>
      </c>
      <c r="G389" s="6" t="s">
        <v>240</v>
      </c>
      <c r="H389" s="6" t="s">
        <v>241</v>
      </c>
      <c r="I389" s="6" t="s">
        <v>19</v>
      </c>
      <c r="J389" s="6" t="s">
        <v>20</v>
      </c>
      <c r="K389" s="7">
        <v>48.19</v>
      </c>
    </row>
    <row r="390" spans="1:11" s="4" customFormat="1" ht="10.199999999999999" x14ac:dyDescent="0.2">
      <c r="A390" s="6" t="str">
        <f>"0011670100"</f>
        <v>0011670100</v>
      </c>
      <c r="B390" s="6" t="str">
        <f>"482649"</f>
        <v>482649</v>
      </c>
      <c r="C390" s="6" t="s">
        <v>246</v>
      </c>
      <c r="D390" s="6" t="s">
        <v>248</v>
      </c>
      <c r="E390" s="6" t="s">
        <v>13</v>
      </c>
      <c r="F390" s="6">
        <v>98</v>
      </c>
      <c r="G390" s="6" t="s">
        <v>240</v>
      </c>
      <c r="H390" s="6" t="s">
        <v>241</v>
      </c>
      <c r="I390" s="6" t="s">
        <v>65</v>
      </c>
      <c r="J390" s="6" t="s">
        <v>20</v>
      </c>
      <c r="K390" s="7">
        <v>48.19</v>
      </c>
    </row>
    <row r="391" spans="1:11" s="4" customFormat="1" ht="10.199999999999999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7"/>
    </row>
    <row r="392" spans="1:11" s="4" customFormat="1" ht="10.199999999999999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7"/>
    </row>
    <row r="393" spans="1:11" s="4" customFormat="1" ht="10.199999999999999" x14ac:dyDescent="0.2">
      <c r="A393" s="6" t="str">
        <f t="shared" ref="A393:A400" si="5">"0011820100"</f>
        <v>0011820100</v>
      </c>
      <c r="B393" s="6" t="str">
        <f>"037895"</f>
        <v>037895</v>
      </c>
      <c r="C393" s="6" t="s">
        <v>249</v>
      </c>
      <c r="D393" s="6" t="s">
        <v>59</v>
      </c>
      <c r="E393" s="6" t="s">
        <v>82</v>
      </c>
      <c r="F393" s="6">
        <v>98</v>
      </c>
      <c r="G393" s="6" t="s">
        <v>250</v>
      </c>
      <c r="H393" s="6" t="s">
        <v>251</v>
      </c>
      <c r="I393" s="6" t="s">
        <v>49</v>
      </c>
      <c r="J393" s="6" t="s">
        <v>17</v>
      </c>
      <c r="K393" s="7">
        <v>40.549999999999997</v>
      </c>
    </row>
    <row r="394" spans="1:11" s="4" customFormat="1" ht="10.199999999999999" x14ac:dyDescent="0.2">
      <c r="A394" s="6" t="str">
        <f t="shared" si="5"/>
        <v>0011820100</v>
      </c>
      <c r="B394" s="6" t="str">
        <f>"435278"</f>
        <v>435278</v>
      </c>
      <c r="C394" s="6" t="s">
        <v>252</v>
      </c>
      <c r="D394" s="6" t="s">
        <v>59</v>
      </c>
      <c r="E394" s="6" t="s">
        <v>82</v>
      </c>
      <c r="F394" s="6">
        <v>100</v>
      </c>
      <c r="G394" s="6" t="s">
        <v>250</v>
      </c>
      <c r="H394" s="6" t="s">
        <v>251</v>
      </c>
      <c r="I394" s="6" t="s">
        <v>37</v>
      </c>
      <c r="J394" s="6" t="s">
        <v>20</v>
      </c>
      <c r="K394" s="7">
        <v>24.83</v>
      </c>
    </row>
    <row r="395" spans="1:11" s="4" customFormat="1" ht="10.199999999999999" x14ac:dyDescent="0.2">
      <c r="A395" s="6" t="str">
        <f t="shared" si="5"/>
        <v>0011820100</v>
      </c>
      <c r="B395" s="6" t="str">
        <f>"396970"</f>
        <v>396970</v>
      </c>
      <c r="C395" s="6" t="s">
        <v>253</v>
      </c>
      <c r="D395" s="6" t="s">
        <v>59</v>
      </c>
      <c r="E395" s="6" t="s">
        <v>82</v>
      </c>
      <c r="F395" s="6">
        <v>100</v>
      </c>
      <c r="G395" s="6" t="s">
        <v>250</v>
      </c>
      <c r="H395" s="6" t="s">
        <v>251</v>
      </c>
      <c r="I395" s="6" t="s">
        <v>35</v>
      </c>
      <c r="J395" s="6" t="s">
        <v>20</v>
      </c>
      <c r="K395" s="7">
        <v>24.8</v>
      </c>
    </row>
    <row r="396" spans="1:11" s="4" customFormat="1" ht="10.199999999999999" x14ac:dyDescent="0.2">
      <c r="A396" s="6" t="str">
        <f t="shared" si="5"/>
        <v>0011820100</v>
      </c>
      <c r="B396" s="6" t="str">
        <f>"061467"</f>
        <v>061467</v>
      </c>
      <c r="C396" s="6" t="s">
        <v>254</v>
      </c>
      <c r="D396" s="6" t="s">
        <v>59</v>
      </c>
      <c r="E396" s="6" t="s">
        <v>82</v>
      </c>
      <c r="F396" s="6">
        <v>98</v>
      </c>
      <c r="G396" s="6" t="s">
        <v>250</v>
      </c>
      <c r="H396" s="6" t="s">
        <v>251</v>
      </c>
      <c r="I396" s="6" t="s">
        <v>19</v>
      </c>
      <c r="J396" s="6" t="s">
        <v>20</v>
      </c>
      <c r="K396" s="7">
        <v>24.33</v>
      </c>
    </row>
    <row r="397" spans="1:11" s="4" customFormat="1" ht="10.199999999999999" x14ac:dyDescent="0.2">
      <c r="A397" s="6" t="str">
        <f t="shared" si="5"/>
        <v>0011820100</v>
      </c>
      <c r="B397" s="6" t="str">
        <f>"160972"</f>
        <v>160972</v>
      </c>
      <c r="C397" s="6" t="s">
        <v>255</v>
      </c>
      <c r="D397" s="6" t="s">
        <v>59</v>
      </c>
      <c r="E397" s="6" t="s">
        <v>82</v>
      </c>
      <c r="F397" s="6">
        <v>98</v>
      </c>
      <c r="G397" s="6" t="s">
        <v>250</v>
      </c>
      <c r="H397" s="6" t="s">
        <v>251</v>
      </c>
      <c r="I397" s="6" t="s">
        <v>211</v>
      </c>
      <c r="J397" s="6" t="s">
        <v>20</v>
      </c>
      <c r="K397" s="7">
        <v>24.33</v>
      </c>
    </row>
    <row r="398" spans="1:11" s="4" customFormat="1" ht="10.199999999999999" x14ac:dyDescent="0.2">
      <c r="A398" s="6" t="str">
        <f t="shared" si="5"/>
        <v>0011820100</v>
      </c>
      <c r="B398" s="6" t="str">
        <f>"425208"</f>
        <v>425208</v>
      </c>
      <c r="C398" s="6" t="s">
        <v>256</v>
      </c>
      <c r="D398" s="6" t="s">
        <v>59</v>
      </c>
      <c r="E398" s="6" t="s">
        <v>82</v>
      </c>
      <c r="F398" s="6">
        <v>98</v>
      </c>
      <c r="G398" s="6" t="s">
        <v>250</v>
      </c>
      <c r="H398" s="6" t="s">
        <v>251</v>
      </c>
      <c r="I398" s="6" t="s">
        <v>30</v>
      </c>
      <c r="J398" s="6" t="s">
        <v>20</v>
      </c>
      <c r="K398" s="7">
        <v>24.33</v>
      </c>
    </row>
    <row r="399" spans="1:11" s="4" customFormat="1" ht="10.199999999999999" x14ac:dyDescent="0.2">
      <c r="A399" s="6" t="str">
        <f t="shared" si="5"/>
        <v>0011820100</v>
      </c>
      <c r="B399" s="6" t="str">
        <f>"587757"</f>
        <v>587757</v>
      </c>
      <c r="C399" s="6" t="s">
        <v>257</v>
      </c>
      <c r="D399" s="6" t="s">
        <v>59</v>
      </c>
      <c r="E399" s="6" t="s">
        <v>82</v>
      </c>
      <c r="F399" s="6">
        <v>98</v>
      </c>
      <c r="G399" s="6" t="s">
        <v>250</v>
      </c>
      <c r="H399" s="6" t="s">
        <v>251</v>
      </c>
      <c r="I399" s="6" t="s">
        <v>28</v>
      </c>
      <c r="J399" s="6" t="s">
        <v>20</v>
      </c>
      <c r="K399" s="7">
        <v>24.33</v>
      </c>
    </row>
    <row r="400" spans="1:11" s="4" customFormat="1" ht="10.199999999999999" x14ac:dyDescent="0.2">
      <c r="A400" s="6" t="str">
        <f t="shared" si="5"/>
        <v>0011820100</v>
      </c>
      <c r="B400" s="6" t="str">
        <f>"595586"</f>
        <v>595586</v>
      </c>
      <c r="C400" s="6" t="s">
        <v>258</v>
      </c>
      <c r="D400" s="6" t="s">
        <v>59</v>
      </c>
      <c r="E400" s="6" t="s">
        <v>82</v>
      </c>
      <c r="F400" s="6">
        <v>98</v>
      </c>
      <c r="G400" s="6" t="s">
        <v>250</v>
      </c>
      <c r="H400" s="6" t="s">
        <v>251</v>
      </c>
      <c r="I400" s="6" t="s">
        <v>65</v>
      </c>
      <c r="J400" s="6" t="s">
        <v>20</v>
      </c>
      <c r="K400" s="7">
        <v>24.33</v>
      </c>
    </row>
    <row r="401" spans="1:11" s="4" customFormat="1" ht="10.199999999999999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7"/>
    </row>
    <row r="402" spans="1:11" s="4" customFormat="1" ht="10.199999999999999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7"/>
    </row>
    <row r="403" spans="1:11" s="4" customFormat="1" ht="10.199999999999999" x14ac:dyDescent="0.2">
      <c r="A403" s="6" t="str">
        <f t="shared" ref="A403:A410" si="6">"0011830100"</f>
        <v>0011830100</v>
      </c>
      <c r="B403" s="6" t="str">
        <f>"036228"</f>
        <v>036228</v>
      </c>
      <c r="C403" s="6" t="s">
        <v>249</v>
      </c>
      <c r="D403" s="6" t="s">
        <v>71</v>
      </c>
      <c r="E403" s="6" t="s">
        <v>82</v>
      </c>
      <c r="F403" s="6">
        <v>98</v>
      </c>
      <c r="G403" s="6" t="s">
        <v>250</v>
      </c>
      <c r="H403" s="6" t="s">
        <v>251</v>
      </c>
      <c r="I403" s="6" t="s">
        <v>49</v>
      </c>
      <c r="J403" s="6" t="s">
        <v>17</v>
      </c>
      <c r="K403" s="7">
        <v>50.42</v>
      </c>
    </row>
    <row r="404" spans="1:11" s="4" customFormat="1" ht="10.199999999999999" x14ac:dyDescent="0.2">
      <c r="A404" s="6" t="str">
        <f t="shared" si="6"/>
        <v>0011830100</v>
      </c>
      <c r="B404" s="6" t="str">
        <f>"418485"</f>
        <v>418485</v>
      </c>
      <c r="C404" s="6" t="s">
        <v>253</v>
      </c>
      <c r="D404" s="6" t="s">
        <v>71</v>
      </c>
      <c r="E404" s="6" t="s">
        <v>82</v>
      </c>
      <c r="F404" s="6">
        <v>100</v>
      </c>
      <c r="G404" s="6" t="s">
        <v>250</v>
      </c>
      <c r="H404" s="6" t="s">
        <v>251</v>
      </c>
      <c r="I404" s="6" t="s">
        <v>35</v>
      </c>
      <c r="J404" s="6" t="s">
        <v>20</v>
      </c>
      <c r="K404" s="7">
        <v>30.87</v>
      </c>
    </row>
    <row r="405" spans="1:11" s="4" customFormat="1" ht="10.199999999999999" x14ac:dyDescent="0.2">
      <c r="A405" s="6" t="str">
        <f t="shared" si="6"/>
        <v>0011830100</v>
      </c>
      <c r="B405" s="6" t="str">
        <f>"599317"</f>
        <v>599317</v>
      </c>
      <c r="C405" s="6" t="s">
        <v>252</v>
      </c>
      <c r="D405" s="6" t="s">
        <v>71</v>
      </c>
      <c r="E405" s="6" t="s">
        <v>82</v>
      </c>
      <c r="F405" s="6">
        <v>100</v>
      </c>
      <c r="G405" s="6" t="s">
        <v>250</v>
      </c>
      <c r="H405" s="6" t="s">
        <v>251</v>
      </c>
      <c r="I405" s="6" t="s">
        <v>37</v>
      </c>
      <c r="J405" s="6" t="s">
        <v>20</v>
      </c>
      <c r="K405" s="7">
        <v>30.87</v>
      </c>
    </row>
    <row r="406" spans="1:11" s="4" customFormat="1" ht="10.199999999999999" x14ac:dyDescent="0.2">
      <c r="A406" s="6" t="str">
        <f t="shared" si="6"/>
        <v>0011830100</v>
      </c>
      <c r="B406" s="6" t="str">
        <f>"052067"</f>
        <v>052067</v>
      </c>
      <c r="C406" s="6" t="s">
        <v>254</v>
      </c>
      <c r="D406" s="6" t="s">
        <v>71</v>
      </c>
      <c r="E406" s="6" t="s">
        <v>82</v>
      </c>
      <c r="F406" s="6">
        <v>98</v>
      </c>
      <c r="G406" s="6" t="s">
        <v>250</v>
      </c>
      <c r="H406" s="6" t="s">
        <v>251</v>
      </c>
      <c r="I406" s="6" t="s">
        <v>19</v>
      </c>
      <c r="J406" s="6" t="s">
        <v>20</v>
      </c>
      <c r="K406" s="7">
        <v>30.25</v>
      </c>
    </row>
    <row r="407" spans="1:11" s="4" customFormat="1" ht="10.199999999999999" x14ac:dyDescent="0.2">
      <c r="A407" s="6" t="str">
        <f t="shared" si="6"/>
        <v>0011830100</v>
      </c>
      <c r="B407" s="6" t="str">
        <f>"141096"</f>
        <v>141096</v>
      </c>
      <c r="C407" s="6" t="s">
        <v>255</v>
      </c>
      <c r="D407" s="6" t="s">
        <v>71</v>
      </c>
      <c r="E407" s="6" t="s">
        <v>82</v>
      </c>
      <c r="F407" s="6">
        <v>98</v>
      </c>
      <c r="G407" s="6" t="s">
        <v>250</v>
      </c>
      <c r="H407" s="6" t="s">
        <v>251</v>
      </c>
      <c r="I407" s="6" t="s">
        <v>211</v>
      </c>
      <c r="J407" s="6" t="s">
        <v>20</v>
      </c>
      <c r="K407" s="7">
        <v>30.25</v>
      </c>
    </row>
    <row r="408" spans="1:11" s="4" customFormat="1" ht="10.199999999999999" x14ac:dyDescent="0.2">
      <c r="A408" s="6" t="str">
        <f t="shared" si="6"/>
        <v>0011830100</v>
      </c>
      <c r="B408" s="6" t="str">
        <f>"158665"</f>
        <v>158665</v>
      </c>
      <c r="C408" s="6" t="s">
        <v>256</v>
      </c>
      <c r="D408" s="6" t="s">
        <v>71</v>
      </c>
      <c r="E408" s="6" t="s">
        <v>82</v>
      </c>
      <c r="F408" s="6">
        <v>98</v>
      </c>
      <c r="G408" s="6" t="s">
        <v>250</v>
      </c>
      <c r="H408" s="6" t="s">
        <v>251</v>
      </c>
      <c r="I408" s="6" t="s">
        <v>30</v>
      </c>
      <c r="J408" s="6" t="s">
        <v>20</v>
      </c>
      <c r="K408" s="7">
        <v>30.25</v>
      </c>
    </row>
    <row r="409" spans="1:11" s="4" customFormat="1" ht="10.199999999999999" x14ac:dyDescent="0.2">
      <c r="A409" s="6" t="str">
        <f t="shared" si="6"/>
        <v>0011830100</v>
      </c>
      <c r="B409" s="6" t="str">
        <f>"464531"</f>
        <v>464531</v>
      </c>
      <c r="C409" s="6" t="s">
        <v>257</v>
      </c>
      <c r="D409" s="6" t="s">
        <v>71</v>
      </c>
      <c r="E409" s="6" t="s">
        <v>82</v>
      </c>
      <c r="F409" s="6">
        <v>98</v>
      </c>
      <c r="G409" s="6" t="s">
        <v>250</v>
      </c>
      <c r="H409" s="6" t="s">
        <v>251</v>
      </c>
      <c r="I409" s="6" t="s">
        <v>28</v>
      </c>
      <c r="J409" s="6" t="s">
        <v>20</v>
      </c>
      <c r="K409" s="7">
        <v>30.25</v>
      </c>
    </row>
    <row r="410" spans="1:11" s="4" customFormat="1" ht="10.199999999999999" x14ac:dyDescent="0.2">
      <c r="A410" s="6" t="str">
        <f t="shared" si="6"/>
        <v>0011830100</v>
      </c>
      <c r="B410" s="6" t="str">
        <f>"488012"</f>
        <v>488012</v>
      </c>
      <c r="C410" s="6" t="s">
        <v>258</v>
      </c>
      <c r="D410" s="6" t="s">
        <v>71</v>
      </c>
      <c r="E410" s="6" t="s">
        <v>82</v>
      </c>
      <c r="F410" s="6">
        <v>98</v>
      </c>
      <c r="G410" s="6" t="s">
        <v>250</v>
      </c>
      <c r="H410" s="6" t="s">
        <v>251</v>
      </c>
      <c r="I410" s="6" t="s">
        <v>65</v>
      </c>
      <c r="J410" s="6" t="s">
        <v>20</v>
      </c>
      <c r="K410" s="7">
        <v>30.25</v>
      </c>
    </row>
    <row r="411" spans="1:11" s="4" customFormat="1" ht="10.199999999999999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7"/>
    </row>
    <row r="412" spans="1:11" s="4" customFormat="1" ht="10.199999999999999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7"/>
    </row>
    <row r="413" spans="1:11" s="4" customFormat="1" ht="10.199999999999999" x14ac:dyDescent="0.2">
      <c r="A413" s="6" t="str">
        <f t="shared" ref="A413:A419" si="7">"0011840100"</f>
        <v>0011840100</v>
      </c>
      <c r="B413" s="6" t="str">
        <f>"035568"</f>
        <v>035568</v>
      </c>
      <c r="C413" s="6" t="s">
        <v>249</v>
      </c>
      <c r="D413" s="6" t="s">
        <v>259</v>
      </c>
      <c r="E413" s="6" t="s">
        <v>82</v>
      </c>
      <c r="F413" s="6">
        <v>98</v>
      </c>
      <c r="G413" s="6" t="s">
        <v>250</v>
      </c>
      <c r="H413" s="6" t="s">
        <v>251</v>
      </c>
      <c r="I413" s="6" t="s">
        <v>49</v>
      </c>
      <c r="J413" s="6" t="s">
        <v>17</v>
      </c>
      <c r="K413" s="7">
        <v>59.58</v>
      </c>
    </row>
    <row r="414" spans="1:11" s="4" customFormat="1" ht="10.199999999999999" x14ac:dyDescent="0.2">
      <c r="A414" s="6" t="str">
        <f t="shared" si="7"/>
        <v>0011840100</v>
      </c>
      <c r="B414" s="6" t="str">
        <f>"465078"</f>
        <v>465078</v>
      </c>
      <c r="C414" s="6" t="s">
        <v>252</v>
      </c>
      <c r="D414" s="6" t="s">
        <v>259</v>
      </c>
      <c r="E414" s="6" t="s">
        <v>82</v>
      </c>
      <c r="F414" s="6">
        <v>100</v>
      </c>
      <c r="G414" s="6" t="s">
        <v>250</v>
      </c>
      <c r="H414" s="6" t="s">
        <v>251</v>
      </c>
      <c r="I414" s="6" t="s">
        <v>37</v>
      </c>
      <c r="J414" s="6" t="s">
        <v>20</v>
      </c>
      <c r="K414" s="7">
        <v>36.479999999999997</v>
      </c>
    </row>
    <row r="415" spans="1:11" s="4" customFormat="1" ht="10.199999999999999" x14ac:dyDescent="0.2">
      <c r="A415" s="6" t="str">
        <f t="shared" si="7"/>
        <v>0011840100</v>
      </c>
      <c r="B415" s="6" t="str">
        <f>"597764"</f>
        <v>597764</v>
      </c>
      <c r="C415" s="6" t="s">
        <v>253</v>
      </c>
      <c r="D415" s="6" t="s">
        <v>259</v>
      </c>
      <c r="E415" s="6" t="s">
        <v>82</v>
      </c>
      <c r="F415" s="6">
        <v>100</v>
      </c>
      <c r="G415" s="6" t="s">
        <v>250</v>
      </c>
      <c r="H415" s="6" t="s">
        <v>251</v>
      </c>
      <c r="I415" s="6" t="s">
        <v>35</v>
      </c>
      <c r="J415" s="6" t="s">
        <v>20</v>
      </c>
      <c r="K415" s="7">
        <v>36.479999999999997</v>
      </c>
    </row>
    <row r="416" spans="1:11" s="4" customFormat="1" ht="10.199999999999999" x14ac:dyDescent="0.2">
      <c r="A416" s="6" t="str">
        <f t="shared" si="7"/>
        <v>0011840100</v>
      </c>
      <c r="B416" s="6" t="str">
        <f>"151938"</f>
        <v>151938</v>
      </c>
      <c r="C416" s="6" t="s">
        <v>255</v>
      </c>
      <c r="D416" s="6" t="s">
        <v>259</v>
      </c>
      <c r="E416" s="6" t="s">
        <v>82</v>
      </c>
      <c r="F416" s="6">
        <v>98</v>
      </c>
      <c r="G416" s="6" t="s">
        <v>250</v>
      </c>
      <c r="H416" s="6" t="s">
        <v>251</v>
      </c>
      <c r="I416" s="6" t="s">
        <v>211</v>
      </c>
      <c r="J416" s="6" t="s">
        <v>20</v>
      </c>
      <c r="K416" s="7">
        <v>35.75</v>
      </c>
    </row>
    <row r="417" spans="1:11" s="4" customFormat="1" ht="10.199999999999999" x14ac:dyDescent="0.2">
      <c r="A417" s="6" t="str">
        <f t="shared" si="7"/>
        <v>0011840100</v>
      </c>
      <c r="B417" s="6" t="str">
        <f>"417836"</f>
        <v>417836</v>
      </c>
      <c r="C417" s="6" t="s">
        <v>258</v>
      </c>
      <c r="D417" s="6" t="s">
        <v>259</v>
      </c>
      <c r="E417" s="6" t="s">
        <v>82</v>
      </c>
      <c r="F417" s="6">
        <v>98</v>
      </c>
      <c r="G417" s="6" t="s">
        <v>250</v>
      </c>
      <c r="H417" s="6" t="s">
        <v>251</v>
      </c>
      <c r="I417" s="6" t="s">
        <v>65</v>
      </c>
      <c r="J417" s="6" t="s">
        <v>20</v>
      </c>
      <c r="K417" s="7">
        <v>35.75</v>
      </c>
    </row>
    <row r="418" spans="1:11" s="4" customFormat="1" ht="10.199999999999999" x14ac:dyDescent="0.2">
      <c r="A418" s="6" t="str">
        <f t="shared" si="7"/>
        <v>0011840100</v>
      </c>
      <c r="B418" s="6" t="str">
        <f>"445344"</f>
        <v>445344</v>
      </c>
      <c r="C418" s="6" t="s">
        <v>254</v>
      </c>
      <c r="D418" s="6" t="s">
        <v>259</v>
      </c>
      <c r="E418" s="6" t="s">
        <v>82</v>
      </c>
      <c r="F418" s="6">
        <v>98</v>
      </c>
      <c r="G418" s="6" t="s">
        <v>250</v>
      </c>
      <c r="H418" s="6" t="s">
        <v>251</v>
      </c>
      <c r="I418" s="6" t="s">
        <v>19</v>
      </c>
      <c r="J418" s="6" t="s">
        <v>20</v>
      </c>
      <c r="K418" s="7">
        <v>35.75</v>
      </c>
    </row>
    <row r="419" spans="1:11" s="4" customFormat="1" ht="10.199999999999999" x14ac:dyDescent="0.2">
      <c r="A419" s="6" t="str">
        <f t="shared" si="7"/>
        <v>0011840100</v>
      </c>
      <c r="B419" s="6" t="str">
        <f>"489551"</f>
        <v>489551</v>
      </c>
      <c r="C419" s="6" t="s">
        <v>257</v>
      </c>
      <c r="D419" s="6" t="s">
        <v>259</v>
      </c>
      <c r="E419" s="6" t="s">
        <v>82</v>
      </c>
      <c r="F419" s="6">
        <v>98</v>
      </c>
      <c r="G419" s="6" t="s">
        <v>250</v>
      </c>
      <c r="H419" s="6" t="s">
        <v>251</v>
      </c>
      <c r="I419" s="6" t="s">
        <v>28</v>
      </c>
      <c r="J419" s="6" t="s">
        <v>20</v>
      </c>
      <c r="K419" s="7">
        <v>35.75</v>
      </c>
    </row>
    <row r="420" spans="1:11" s="4" customFormat="1" ht="10.199999999999999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7"/>
    </row>
    <row r="421" spans="1:11" s="4" customFormat="1" ht="10.199999999999999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7"/>
    </row>
    <row r="422" spans="1:11" s="4" customFormat="1" ht="20.399999999999999" x14ac:dyDescent="0.2">
      <c r="A422" s="6" t="str">
        <f>"0009720030"</f>
        <v>0009720030</v>
      </c>
      <c r="B422" s="6" t="str">
        <f>"409516"</f>
        <v>409516</v>
      </c>
      <c r="C422" s="6" t="s">
        <v>260</v>
      </c>
      <c r="D422" s="6" t="s">
        <v>33</v>
      </c>
      <c r="E422" s="6" t="s">
        <v>82</v>
      </c>
      <c r="F422" s="6">
        <v>28</v>
      </c>
      <c r="G422" s="6" t="s">
        <v>261</v>
      </c>
      <c r="H422" s="6" t="s">
        <v>262</v>
      </c>
      <c r="I422" s="6" t="s">
        <v>121</v>
      </c>
      <c r="J422" s="6" t="s">
        <v>17</v>
      </c>
      <c r="K422" s="7">
        <v>15.69</v>
      </c>
    </row>
    <row r="423" spans="1:11" s="4" customFormat="1" ht="10.199999999999999" x14ac:dyDescent="0.2">
      <c r="A423" s="6" t="str">
        <f>"0009720030"</f>
        <v>0009720030</v>
      </c>
      <c r="B423" s="6" t="str">
        <f>"179704"</f>
        <v>179704</v>
      </c>
      <c r="C423" s="6" t="s">
        <v>263</v>
      </c>
      <c r="D423" s="6" t="s">
        <v>33</v>
      </c>
      <c r="E423" s="6" t="s">
        <v>82</v>
      </c>
      <c r="F423" s="6">
        <v>30</v>
      </c>
      <c r="G423" s="6" t="s">
        <v>261</v>
      </c>
      <c r="H423" s="6" t="s">
        <v>262</v>
      </c>
      <c r="I423" s="6" t="s">
        <v>19</v>
      </c>
      <c r="J423" s="6" t="s">
        <v>20</v>
      </c>
      <c r="K423" s="7">
        <v>10.09</v>
      </c>
    </row>
    <row r="424" spans="1:11" s="4" customFormat="1" ht="10.199999999999999" x14ac:dyDescent="0.2">
      <c r="A424" s="6" t="str">
        <f>"0009720030"</f>
        <v>0009720030</v>
      </c>
      <c r="B424" s="6" t="str">
        <f>"494110"</f>
        <v>494110</v>
      </c>
      <c r="C424" s="6" t="s">
        <v>264</v>
      </c>
      <c r="D424" s="6" t="s">
        <v>33</v>
      </c>
      <c r="E424" s="6" t="s">
        <v>82</v>
      </c>
      <c r="F424" s="6">
        <v>30</v>
      </c>
      <c r="G424" s="6" t="s">
        <v>261</v>
      </c>
      <c r="H424" s="6" t="s">
        <v>262</v>
      </c>
      <c r="I424" s="6" t="s">
        <v>37</v>
      </c>
      <c r="J424" s="6" t="s">
        <v>20</v>
      </c>
      <c r="K424" s="7">
        <v>10.09</v>
      </c>
    </row>
    <row r="425" spans="1:11" s="4" customFormat="1" ht="10.199999999999999" x14ac:dyDescent="0.2">
      <c r="A425" s="6" t="str">
        <f>"0009720030"</f>
        <v>0009720030</v>
      </c>
      <c r="B425" s="6" t="str">
        <f>"068332"</f>
        <v>068332</v>
      </c>
      <c r="C425" s="6" t="s">
        <v>265</v>
      </c>
      <c r="D425" s="6" t="s">
        <v>33</v>
      </c>
      <c r="E425" s="6" t="s">
        <v>13</v>
      </c>
      <c r="F425" s="6">
        <v>28</v>
      </c>
      <c r="G425" s="6" t="s">
        <v>261</v>
      </c>
      <c r="H425" s="6" t="s">
        <v>262</v>
      </c>
      <c r="I425" s="6" t="s">
        <v>65</v>
      </c>
      <c r="J425" s="6" t="s">
        <v>20</v>
      </c>
      <c r="K425" s="7">
        <v>9.41</v>
      </c>
    </row>
    <row r="426" spans="1:11" s="4" customFormat="1" ht="10.199999999999999" x14ac:dyDescent="0.2">
      <c r="A426" s="6" t="str">
        <f>"0009720030"</f>
        <v>0009720030</v>
      </c>
      <c r="B426" s="6" t="str">
        <f>"533008"</f>
        <v>533008</v>
      </c>
      <c r="C426" s="6" t="s">
        <v>266</v>
      </c>
      <c r="D426" s="6" t="s">
        <v>33</v>
      </c>
      <c r="E426" s="6" t="s">
        <v>82</v>
      </c>
      <c r="F426" s="6">
        <v>28</v>
      </c>
      <c r="G426" s="6" t="s">
        <v>261</v>
      </c>
      <c r="H426" s="6" t="s">
        <v>262</v>
      </c>
      <c r="I426" s="6" t="s">
        <v>35</v>
      </c>
      <c r="J426" s="6" t="s">
        <v>20</v>
      </c>
      <c r="K426" s="7">
        <v>9.41</v>
      </c>
    </row>
    <row r="427" spans="1:11" s="4" customFormat="1" ht="10.199999999999999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7"/>
    </row>
    <row r="428" spans="1:11" s="4" customFormat="1" ht="10.199999999999999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7"/>
    </row>
    <row r="429" spans="1:11" s="4" customFormat="1" ht="20.399999999999999" x14ac:dyDescent="0.2">
      <c r="A429" s="6" t="str">
        <f t="shared" ref="A429:A436" si="8">"0009720100"</f>
        <v>0009720100</v>
      </c>
      <c r="B429" s="6" t="str">
        <f>"409763"</f>
        <v>409763</v>
      </c>
      <c r="C429" s="6" t="s">
        <v>260</v>
      </c>
      <c r="D429" s="6" t="s">
        <v>33</v>
      </c>
      <c r="E429" s="6" t="s">
        <v>82</v>
      </c>
      <c r="F429" s="6">
        <v>98</v>
      </c>
      <c r="G429" s="6" t="s">
        <v>261</v>
      </c>
      <c r="H429" s="6" t="s">
        <v>262</v>
      </c>
      <c r="I429" s="6" t="s">
        <v>121</v>
      </c>
      <c r="J429" s="6" t="s">
        <v>17</v>
      </c>
      <c r="K429" s="7">
        <v>54.9</v>
      </c>
    </row>
    <row r="430" spans="1:11" s="4" customFormat="1" ht="10.199999999999999" x14ac:dyDescent="0.2">
      <c r="A430" s="6" t="str">
        <f t="shared" si="8"/>
        <v>0009720100</v>
      </c>
      <c r="B430" s="6" t="str">
        <f>"013626"</f>
        <v>013626</v>
      </c>
      <c r="C430" s="6" t="s">
        <v>267</v>
      </c>
      <c r="D430" s="6" t="s">
        <v>33</v>
      </c>
      <c r="E430" s="6" t="s">
        <v>82</v>
      </c>
      <c r="F430" s="6">
        <v>98</v>
      </c>
      <c r="G430" s="6" t="s">
        <v>261</v>
      </c>
      <c r="H430" s="6" t="s">
        <v>262</v>
      </c>
      <c r="I430" s="6" t="s">
        <v>189</v>
      </c>
      <c r="J430" s="6" t="s">
        <v>17</v>
      </c>
      <c r="K430" s="7">
        <v>54.88</v>
      </c>
    </row>
    <row r="431" spans="1:11" s="4" customFormat="1" ht="10.199999999999999" x14ac:dyDescent="0.2">
      <c r="A431" s="6" t="str">
        <f t="shared" si="8"/>
        <v>0009720100</v>
      </c>
      <c r="B431" s="6" t="str">
        <f>"446879"</f>
        <v>446879</v>
      </c>
      <c r="C431" s="6" t="s">
        <v>268</v>
      </c>
      <c r="D431" s="6" t="s">
        <v>33</v>
      </c>
      <c r="E431" s="6" t="s">
        <v>82</v>
      </c>
      <c r="F431" s="6">
        <v>100</v>
      </c>
      <c r="G431" s="6" t="s">
        <v>261</v>
      </c>
      <c r="H431" s="6" t="s">
        <v>262</v>
      </c>
      <c r="I431" s="6" t="s">
        <v>103</v>
      </c>
      <c r="J431" s="6" t="s">
        <v>20</v>
      </c>
      <c r="K431" s="7">
        <v>33.61</v>
      </c>
    </row>
    <row r="432" spans="1:11" s="4" customFormat="1" ht="10.199999999999999" x14ac:dyDescent="0.2">
      <c r="A432" s="6" t="str">
        <f t="shared" si="8"/>
        <v>0009720100</v>
      </c>
      <c r="B432" s="6" t="str">
        <f>"473235"</f>
        <v>473235</v>
      </c>
      <c r="C432" s="6" t="s">
        <v>263</v>
      </c>
      <c r="D432" s="6" t="s">
        <v>33</v>
      </c>
      <c r="E432" s="6" t="s">
        <v>82</v>
      </c>
      <c r="F432" s="6">
        <v>100</v>
      </c>
      <c r="G432" s="6" t="s">
        <v>261</v>
      </c>
      <c r="H432" s="6" t="s">
        <v>262</v>
      </c>
      <c r="I432" s="6" t="s">
        <v>19</v>
      </c>
      <c r="J432" s="6" t="s">
        <v>20</v>
      </c>
      <c r="K432" s="7">
        <v>33.61</v>
      </c>
    </row>
    <row r="433" spans="1:11" s="4" customFormat="1" ht="10.199999999999999" x14ac:dyDescent="0.2">
      <c r="A433" s="6" t="str">
        <f t="shared" si="8"/>
        <v>0009720100</v>
      </c>
      <c r="B433" s="6" t="str">
        <f>"428855"</f>
        <v>428855</v>
      </c>
      <c r="C433" s="6" t="s">
        <v>264</v>
      </c>
      <c r="D433" s="6" t="s">
        <v>33</v>
      </c>
      <c r="E433" s="6" t="s">
        <v>82</v>
      </c>
      <c r="F433" s="6">
        <v>100</v>
      </c>
      <c r="G433" s="6" t="s">
        <v>261</v>
      </c>
      <c r="H433" s="6" t="s">
        <v>262</v>
      </c>
      <c r="I433" s="6" t="s">
        <v>37</v>
      </c>
      <c r="J433" s="6" t="s">
        <v>20</v>
      </c>
      <c r="K433" s="7">
        <v>33.6</v>
      </c>
    </row>
    <row r="434" spans="1:11" s="4" customFormat="1" ht="10.199999999999999" x14ac:dyDescent="0.2">
      <c r="A434" s="6" t="str">
        <f t="shared" si="8"/>
        <v>0009720100</v>
      </c>
      <c r="B434" s="6" t="str">
        <f>"416209"</f>
        <v>416209</v>
      </c>
      <c r="C434" s="6" t="s">
        <v>268</v>
      </c>
      <c r="D434" s="6" t="s">
        <v>33</v>
      </c>
      <c r="E434" s="6" t="s">
        <v>82</v>
      </c>
      <c r="F434" s="6">
        <v>98</v>
      </c>
      <c r="G434" s="6" t="s">
        <v>261</v>
      </c>
      <c r="H434" s="6" t="s">
        <v>262</v>
      </c>
      <c r="I434" s="6" t="s">
        <v>103</v>
      </c>
      <c r="J434" s="6" t="s">
        <v>20</v>
      </c>
      <c r="K434" s="7">
        <v>32.93</v>
      </c>
    </row>
    <row r="435" spans="1:11" s="4" customFormat="1" ht="10.199999999999999" x14ac:dyDescent="0.2">
      <c r="A435" s="6" t="str">
        <f t="shared" si="8"/>
        <v>0009720100</v>
      </c>
      <c r="B435" s="6" t="str">
        <f>"453743"</f>
        <v>453743</v>
      </c>
      <c r="C435" s="6" t="s">
        <v>266</v>
      </c>
      <c r="D435" s="6" t="s">
        <v>33</v>
      </c>
      <c r="E435" s="6" t="s">
        <v>82</v>
      </c>
      <c r="F435" s="6">
        <v>98</v>
      </c>
      <c r="G435" s="6" t="s">
        <v>261</v>
      </c>
      <c r="H435" s="6" t="s">
        <v>262</v>
      </c>
      <c r="I435" s="6" t="s">
        <v>35</v>
      </c>
      <c r="J435" s="6" t="s">
        <v>20</v>
      </c>
      <c r="K435" s="7">
        <v>32.93</v>
      </c>
    </row>
    <row r="436" spans="1:11" s="4" customFormat="1" ht="10.199999999999999" x14ac:dyDescent="0.2">
      <c r="A436" s="6" t="str">
        <f t="shared" si="8"/>
        <v>0009720100</v>
      </c>
      <c r="B436" s="6" t="str">
        <f>"372398"</f>
        <v>372398</v>
      </c>
      <c r="C436" s="6" t="s">
        <v>265</v>
      </c>
      <c r="D436" s="6" t="s">
        <v>33</v>
      </c>
      <c r="E436" s="6" t="s">
        <v>13</v>
      </c>
      <c r="F436" s="6">
        <v>98</v>
      </c>
      <c r="G436" s="6" t="s">
        <v>261</v>
      </c>
      <c r="H436" s="6" t="s">
        <v>262</v>
      </c>
      <c r="I436" s="6" t="s">
        <v>65</v>
      </c>
      <c r="J436" s="6" t="s">
        <v>20</v>
      </c>
      <c r="K436" s="7">
        <v>32.83</v>
      </c>
    </row>
    <row r="437" spans="1:11" s="4" customFormat="1" ht="10.199999999999999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7"/>
    </row>
    <row r="438" spans="1:11" s="4" customFormat="1" ht="10.199999999999999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7"/>
    </row>
    <row r="439" spans="1:11" s="4" customFormat="1" ht="20.399999999999999" x14ac:dyDescent="0.2">
      <c r="A439" s="6" t="str">
        <f>"0010500030"</f>
        <v>0010500030</v>
      </c>
      <c r="B439" s="6" t="str">
        <f>"409417"</f>
        <v>409417</v>
      </c>
      <c r="C439" s="6" t="s">
        <v>260</v>
      </c>
      <c r="D439" s="6" t="s">
        <v>239</v>
      </c>
      <c r="E439" s="6" t="s">
        <v>82</v>
      </c>
      <c r="F439" s="6">
        <v>28</v>
      </c>
      <c r="G439" s="6" t="s">
        <v>261</v>
      </c>
      <c r="H439" s="6" t="s">
        <v>262</v>
      </c>
      <c r="I439" s="6" t="s">
        <v>121</v>
      </c>
      <c r="J439" s="6" t="s">
        <v>17</v>
      </c>
      <c r="K439" s="7">
        <v>19.12</v>
      </c>
    </row>
    <row r="440" spans="1:11" s="4" customFormat="1" ht="10.199999999999999" x14ac:dyDescent="0.2">
      <c r="A440" s="6" t="str">
        <f>"0010500030"</f>
        <v>0010500030</v>
      </c>
      <c r="B440" s="6" t="str">
        <f>"570150"</f>
        <v>570150</v>
      </c>
      <c r="C440" s="6" t="s">
        <v>263</v>
      </c>
      <c r="D440" s="6" t="s">
        <v>239</v>
      </c>
      <c r="E440" s="6" t="s">
        <v>82</v>
      </c>
      <c r="F440" s="6">
        <v>30</v>
      </c>
      <c r="G440" s="6" t="s">
        <v>261</v>
      </c>
      <c r="H440" s="6" t="s">
        <v>262</v>
      </c>
      <c r="I440" s="6" t="s">
        <v>19</v>
      </c>
      <c r="J440" s="6" t="s">
        <v>20</v>
      </c>
      <c r="K440" s="7">
        <v>10.79</v>
      </c>
    </row>
    <row r="441" spans="1:11" s="4" customFormat="1" ht="10.199999999999999" x14ac:dyDescent="0.2">
      <c r="A441" s="6" t="str">
        <f>"0010500030"</f>
        <v>0010500030</v>
      </c>
      <c r="B441" s="6" t="str">
        <f>"593862"</f>
        <v>593862</v>
      </c>
      <c r="C441" s="6" t="s">
        <v>264</v>
      </c>
      <c r="D441" s="6" t="s">
        <v>239</v>
      </c>
      <c r="E441" s="6" t="s">
        <v>82</v>
      </c>
      <c r="F441" s="6">
        <v>30</v>
      </c>
      <c r="G441" s="6" t="s">
        <v>261</v>
      </c>
      <c r="H441" s="6" t="s">
        <v>262</v>
      </c>
      <c r="I441" s="6" t="s">
        <v>37</v>
      </c>
      <c r="J441" s="6" t="s">
        <v>20</v>
      </c>
      <c r="K441" s="7">
        <v>10.79</v>
      </c>
    </row>
    <row r="442" spans="1:11" s="4" customFormat="1" ht="10.199999999999999" x14ac:dyDescent="0.2">
      <c r="A442" s="6" t="str">
        <f>"0010500030"</f>
        <v>0010500030</v>
      </c>
      <c r="B442" s="6" t="str">
        <f>"406431"</f>
        <v>406431</v>
      </c>
      <c r="C442" s="6" t="s">
        <v>265</v>
      </c>
      <c r="D442" s="6" t="s">
        <v>239</v>
      </c>
      <c r="E442" s="6" t="s">
        <v>13</v>
      </c>
      <c r="F442" s="6">
        <v>28</v>
      </c>
      <c r="G442" s="6" t="s">
        <v>261</v>
      </c>
      <c r="H442" s="6" t="s">
        <v>262</v>
      </c>
      <c r="I442" s="6" t="s">
        <v>65</v>
      </c>
      <c r="J442" s="6" t="s">
        <v>20</v>
      </c>
      <c r="K442" s="7">
        <v>10.07</v>
      </c>
    </row>
    <row r="443" spans="1:11" s="4" customFormat="1" ht="10.199999999999999" x14ac:dyDescent="0.2">
      <c r="A443" s="6" t="str">
        <f>"0010500030"</f>
        <v>0010500030</v>
      </c>
      <c r="B443" s="6" t="str">
        <f>"505514"</f>
        <v>505514</v>
      </c>
      <c r="C443" s="6" t="s">
        <v>266</v>
      </c>
      <c r="D443" s="6" t="s">
        <v>239</v>
      </c>
      <c r="E443" s="6" t="s">
        <v>82</v>
      </c>
      <c r="F443" s="6">
        <v>28</v>
      </c>
      <c r="G443" s="6" t="s">
        <v>261</v>
      </c>
      <c r="H443" s="6" t="s">
        <v>262</v>
      </c>
      <c r="I443" s="6" t="s">
        <v>35</v>
      </c>
      <c r="J443" s="6" t="s">
        <v>20</v>
      </c>
      <c r="K443" s="7">
        <v>10.07</v>
      </c>
    </row>
    <row r="444" spans="1:11" s="4" customFormat="1" ht="10.199999999999999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7"/>
    </row>
    <row r="445" spans="1:11" s="4" customFormat="1" ht="10.199999999999999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7"/>
    </row>
    <row r="446" spans="1:11" s="4" customFormat="1" ht="20.399999999999999" x14ac:dyDescent="0.2">
      <c r="A446" s="6" t="str">
        <f t="shared" ref="A446:A453" si="9">"0010500100"</f>
        <v>0010500100</v>
      </c>
      <c r="B446" s="6" t="str">
        <f>"409474"</f>
        <v>409474</v>
      </c>
      <c r="C446" s="6" t="s">
        <v>260</v>
      </c>
      <c r="D446" s="6" t="s">
        <v>239</v>
      </c>
      <c r="E446" s="6" t="s">
        <v>82</v>
      </c>
      <c r="F446" s="6">
        <v>98</v>
      </c>
      <c r="G446" s="6" t="s">
        <v>261</v>
      </c>
      <c r="H446" s="6" t="s">
        <v>262</v>
      </c>
      <c r="I446" s="6" t="s">
        <v>121</v>
      </c>
      <c r="J446" s="6" t="s">
        <v>17</v>
      </c>
      <c r="K446" s="7">
        <v>66.930000000000007</v>
      </c>
    </row>
    <row r="447" spans="1:11" s="4" customFormat="1" ht="10.199999999999999" x14ac:dyDescent="0.2">
      <c r="A447" s="6" t="str">
        <f t="shared" si="9"/>
        <v>0010500100</v>
      </c>
      <c r="B447" s="6" t="str">
        <f>"013681"</f>
        <v>013681</v>
      </c>
      <c r="C447" s="6" t="s">
        <v>267</v>
      </c>
      <c r="D447" s="6" t="s">
        <v>239</v>
      </c>
      <c r="E447" s="6" t="s">
        <v>82</v>
      </c>
      <c r="F447" s="6">
        <v>98</v>
      </c>
      <c r="G447" s="6" t="s">
        <v>261</v>
      </c>
      <c r="H447" s="6" t="s">
        <v>262</v>
      </c>
      <c r="I447" s="6" t="s">
        <v>189</v>
      </c>
      <c r="J447" s="6" t="s">
        <v>17</v>
      </c>
      <c r="K447" s="7">
        <v>66.64</v>
      </c>
    </row>
    <row r="448" spans="1:11" s="4" customFormat="1" ht="10.199999999999999" x14ac:dyDescent="0.2">
      <c r="A448" s="6" t="str">
        <f t="shared" si="9"/>
        <v>0010500100</v>
      </c>
      <c r="B448" s="6" t="str">
        <f>"433845"</f>
        <v>433845</v>
      </c>
      <c r="C448" s="6" t="s">
        <v>264</v>
      </c>
      <c r="D448" s="6" t="s">
        <v>239</v>
      </c>
      <c r="E448" s="6" t="s">
        <v>82</v>
      </c>
      <c r="F448" s="6">
        <v>100</v>
      </c>
      <c r="G448" s="6" t="s">
        <v>261</v>
      </c>
      <c r="H448" s="6" t="s">
        <v>262</v>
      </c>
      <c r="I448" s="6" t="s">
        <v>37</v>
      </c>
      <c r="J448" s="6" t="s">
        <v>20</v>
      </c>
      <c r="K448" s="7">
        <v>40.799999999999997</v>
      </c>
    </row>
    <row r="449" spans="1:11" s="4" customFormat="1" ht="10.199999999999999" x14ac:dyDescent="0.2">
      <c r="A449" s="6" t="str">
        <f t="shared" si="9"/>
        <v>0010500100</v>
      </c>
      <c r="B449" s="6" t="str">
        <f>"490670"</f>
        <v>490670</v>
      </c>
      <c r="C449" s="6" t="s">
        <v>268</v>
      </c>
      <c r="D449" s="6" t="s">
        <v>239</v>
      </c>
      <c r="E449" s="6" t="s">
        <v>82</v>
      </c>
      <c r="F449" s="6">
        <v>100</v>
      </c>
      <c r="G449" s="6" t="s">
        <v>261</v>
      </c>
      <c r="H449" s="6" t="s">
        <v>262</v>
      </c>
      <c r="I449" s="6" t="s">
        <v>103</v>
      </c>
      <c r="J449" s="6" t="s">
        <v>20</v>
      </c>
      <c r="K449" s="7">
        <v>40.799999999999997</v>
      </c>
    </row>
    <row r="450" spans="1:11" s="4" customFormat="1" ht="10.199999999999999" x14ac:dyDescent="0.2">
      <c r="A450" s="6" t="str">
        <f t="shared" si="9"/>
        <v>0010500100</v>
      </c>
      <c r="B450" s="6" t="str">
        <f>"527400"</f>
        <v>527400</v>
      </c>
      <c r="C450" s="6" t="s">
        <v>263</v>
      </c>
      <c r="D450" s="6" t="s">
        <v>239</v>
      </c>
      <c r="E450" s="6" t="s">
        <v>82</v>
      </c>
      <c r="F450" s="6">
        <v>100</v>
      </c>
      <c r="G450" s="6" t="s">
        <v>261</v>
      </c>
      <c r="H450" s="6" t="s">
        <v>262</v>
      </c>
      <c r="I450" s="6" t="s">
        <v>19</v>
      </c>
      <c r="J450" s="6" t="s">
        <v>20</v>
      </c>
      <c r="K450" s="7">
        <v>40.799999999999997</v>
      </c>
    </row>
    <row r="451" spans="1:11" s="4" customFormat="1" ht="10.199999999999999" x14ac:dyDescent="0.2">
      <c r="A451" s="6" t="str">
        <f t="shared" si="9"/>
        <v>0010500100</v>
      </c>
      <c r="B451" s="6" t="str">
        <f>"138724"</f>
        <v>138724</v>
      </c>
      <c r="C451" s="6" t="s">
        <v>268</v>
      </c>
      <c r="D451" s="6" t="s">
        <v>239</v>
      </c>
      <c r="E451" s="6" t="s">
        <v>82</v>
      </c>
      <c r="F451" s="6">
        <v>98</v>
      </c>
      <c r="G451" s="6" t="s">
        <v>261</v>
      </c>
      <c r="H451" s="6" t="s">
        <v>262</v>
      </c>
      <c r="I451" s="6" t="s">
        <v>103</v>
      </c>
      <c r="J451" s="6" t="s">
        <v>20</v>
      </c>
      <c r="K451" s="7">
        <v>39.979999999999997</v>
      </c>
    </row>
    <row r="452" spans="1:11" s="4" customFormat="1" ht="10.199999999999999" x14ac:dyDescent="0.2">
      <c r="A452" s="6" t="str">
        <f t="shared" si="9"/>
        <v>0010500100</v>
      </c>
      <c r="B452" s="6" t="str">
        <f>"468993"</f>
        <v>468993</v>
      </c>
      <c r="C452" s="6" t="s">
        <v>265</v>
      </c>
      <c r="D452" s="6" t="s">
        <v>239</v>
      </c>
      <c r="E452" s="6" t="s">
        <v>13</v>
      </c>
      <c r="F452" s="6">
        <v>98</v>
      </c>
      <c r="G452" s="6" t="s">
        <v>261</v>
      </c>
      <c r="H452" s="6" t="s">
        <v>262</v>
      </c>
      <c r="I452" s="6" t="s">
        <v>65</v>
      </c>
      <c r="J452" s="6" t="s">
        <v>20</v>
      </c>
      <c r="K452" s="7">
        <v>39.979999999999997</v>
      </c>
    </row>
    <row r="453" spans="1:11" s="4" customFormat="1" ht="10.199999999999999" x14ac:dyDescent="0.2">
      <c r="A453" s="6" t="str">
        <f t="shared" si="9"/>
        <v>0010500100</v>
      </c>
      <c r="B453" s="6" t="str">
        <f>"598629"</f>
        <v>598629</v>
      </c>
      <c r="C453" s="6" t="s">
        <v>266</v>
      </c>
      <c r="D453" s="6" t="s">
        <v>239</v>
      </c>
      <c r="E453" s="6" t="s">
        <v>82</v>
      </c>
      <c r="F453" s="6">
        <v>98</v>
      </c>
      <c r="G453" s="6" t="s">
        <v>261</v>
      </c>
      <c r="H453" s="6" t="s">
        <v>262</v>
      </c>
      <c r="I453" s="6" t="s">
        <v>35</v>
      </c>
      <c r="J453" s="6" t="s">
        <v>20</v>
      </c>
      <c r="K453" s="7">
        <v>39.979999999999997</v>
      </c>
    </row>
    <row r="454" spans="1:11" s="4" customFormat="1" ht="10.199999999999999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7"/>
    </row>
    <row r="455" spans="1:11" s="4" customFormat="1" ht="10.199999999999999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7"/>
    </row>
    <row r="456" spans="1:11" s="4" customFormat="1" ht="20.399999999999999" x14ac:dyDescent="0.2">
      <c r="A456" s="6" t="str">
        <f>"0010650030"</f>
        <v>0010650030</v>
      </c>
      <c r="B456" s="6" t="str">
        <f>"416222"</f>
        <v>416222</v>
      </c>
      <c r="C456" s="6" t="s">
        <v>269</v>
      </c>
      <c r="D456" s="6" t="s">
        <v>270</v>
      </c>
      <c r="E456" s="6" t="s">
        <v>13</v>
      </c>
      <c r="F456" s="6">
        <v>28</v>
      </c>
      <c r="G456" s="6" t="s">
        <v>271</v>
      </c>
      <c r="H456" s="6" t="s">
        <v>272</v>
      </c>
      <c r="I456" s="6" t="s">
        <v>207</v>
      </c>
      <c r="J456" s="6" t="s">
        <v>17</v>
      </c>
      <c r="K456" s="7">
        <v>17.55</v>
      </c>
    </row>
    <row r="457" spans="1:11" s="4" customFormat="1" ht="20.399999999999999" x14ac:dyDescent="0.2">
      <c r="A457" s="6" t="str">
        <f>"0010650030"</f>
        <v>0010650030</v>
      </c>
      <c r="B457" s="6" t="str">
        <f>"563774"</f>
        <v>563774</v>
      </c>
      <c r="C457" s="6" t="s">
        <v>273</v>
      </c>
      <c r="D457" s="6" t="s">
        <v>270</v>
      </c>
      <c r="E457" s="6" t="s">
        <v>13</v>
      </c>
      <c r="F457" s="6">
        <v>30</v>
      </c>
      <c r="G457" s="6" t="s">
        <v>271</v>
      </c>
      <c r="H457" s="6" t="s">
        <v>272</v>
      </c>
      <c r="I457" s="6" t="s">
        <v>274</v>
      </c>
      <c r="J457" s="6" t="s">
        <v>20</v>
      </c>
      <c r="K457" s="7">
        <v>11.28</v>
      </c>
    </row>
    <row r="458" spans="1:11" s="4" customFormat="1" ht="20.399999999999999" x14ac:dyDescent="0.2">
      <c r="A458" s="6" t="str">
        <f>"0010650030"</f>
        <v>0010650030</v>
      </c>
      <c r="B458" s="6" t="str">
        <f>"076566"</f>
        <v>076566</v>
      </c>
      <c r="C458" s="6" t="s">
        <v>275</v>
      </c>
      <c r="D458" s="6" t="s">
        <v>270</v>
      </c>
      <c r="E458" s="6" t="s">
        <v>13</v>
      </c>
      <c r="F458" s="6">
        <v>28</v>
      </c>
      <c r="G458" s="6" t="s">
        <v>271</v>
      </c>
      <c r="H458" s="6" t="s">
        <v>272</v>
      </c>
      <c r="I458" s="6" t="s">
        <v>124</v>
      </c>
      <c r="J458" s="6" t="s">
        <v>20</v>
      </c>
      <c r="K458" s="7">
        <v>10.53</v>
      </c>
    </row>
    <row r="459" spans="1:11" s="4" customFormat="1" ht="20.399999999999999" x14ac:dyDescent="0.2">
      <c r="A459" s="6" t="str">
        <f>"0010650030"</f>
        <v>0010650030</v>
      </c>
      <c r="B459" s="6" t="str">
        <f>"086414"</f>
        <v>086414</v>
      </c>
      <c r="C459" s="6" t="s">
        <v>276</v>
      </c>
      <c r="D459" s="6" t="s">
        <v>270</v>
      </c>
      <c r="E459" s="6" t="s">
        <v>13</v>
      </c>
      <c r="F459" s="6">
        <v>28</v>
      </c>
      <c r="G459" s="6" t="s">
        <v>271</v>
      </c>
      <c r="H459" s="6" t="s">
        <v>272</v>
      </c>
      <c r="I459" s="6" t="s">
        <v>28</v>
      </c>
      <c r="J459" s="6" t="s">
        <v>20</v>
      </c>
      <c r="K459" s="7">
        <v>10.53</v>
      </c>
    </row>
    <row r="460" spans="1:11" s="4" customFormat="1" ht="20.399999999999999" x14ac:dyDescent="0.2">
      <c r="A460" s="6" t="str">
        <f>"0010650030"</f>
        <v>0010650030</v>
      </c>
      <c r="B460" s="6" t="str">
        <f>"070867"</f>
        <v>070867</v>
      </c>
      <c r="C460" s="6" t="s">
        <v>277</v>
      </c>
      <c r="D460" s="6" t="s">
        <v>270</v>
      </c>
      <c r="E460" s="6" t="s">
        <v>13</v>
      </c>
      <c r="F460" s="6">
        <v>28</v>
      </c>
      <c r="G460" s="6" t="s">
        <v>271</v>
      </c>
      <c r="H460" s="6" t="s">
        <v>272</v>
      </c>
      <c r="I460" s="6" t="s">
        <v>65</v>
      </c>
      <c r="J460" s="6" t="s">
        <v>20</v>
      </c>
      <c r="K460" s="7">
        <v>10.53</v>
      </c>
    </row>
    <row r="461" spans="1:11" s="4" customFormat="1" ht="10.199999999999999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7"/>
    </row>
    <row r="462" spans="1:11" s="4" customFormat="1" ht="10.199999999999999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7"/>
    </row>
    <row r="463" spans="1:11" s="4" customFormat="1" ht="20.399999999999999" x14ac:dyDescent="0.2">
      <c r="A463" s="6" t="str">
        <f t="shared" ref="A463:A469" si="10">"0010650100"</f>
        <v>0010650100</v>
      </c>
      <c r="B463" s="6" t="str">
        <f>"416446"</f>
        <v>416446</v>
      </c>
      <c r="C463" s="6" t="s">
        <v>269</v>
      </c>
      <c r="D463" s="6" t="s">
        <v>270</v>
      </c>
      <c r="E463" s="6" t="s">
        <v>13</v>
      </c>
      <c r="F463" s="6">
        <v>98</v>
      </c>
      <c r="G463" s="6" t="s">
        <v>271</v>
      </c>
      <c r="H463" s="6" t="s">
        <v>272</v>
      </c>
      <c r="I463" s="6" t="s">
        <v>207</v>
      </c>
      <c r="J463" s="6" t="s">
        <v>17</v>
      </c>
      <c r="K463" s="7">
        <v>60.2</v>
      </c>
    </row>
    <row r="464" spans="1:11" s="4" customFormat="1" ht="20.399999999999999" x14ac:dyDescent="0.2">
      <c r="A464" s="6" t="str">
        <f t="shared" si="10"/>
        <v>0010650100</v>
      </c>
      <c r="B464" s="6" t="str">
        <f>"544487"</f>
        <v>544487</v>
      </c>
      <c r="C464" s="6" t="s">
        <v>273</v>
      </c>
      <c r="D464" s="6" t="s">
        <v>270</v>
      </c>
      <c r="E464" s="6" t="s">
        <v>13</v>
      </c>
      <c r="F464" s="6">
        <v>100</v>
      </c>
      <c r="G464" s="6" t="s">
        <v>271</v>
      </c>
      <c r="H464" s="6" t="s">
        <v>272</v>
      </c>
      <c r="I464" s="6" t="s">
        <v>274</v>
      </c>
      <c r="J464" s="6" t="s">
        <v>20</v>
      </c>
      <c r="K464" s="7">
        <v>36.86</v>
      </c>
    </row>
    <row r="465" spans="1:11" s="4" customFormat="1" ht="20.399999999999999" x14ac:dyDescent="0.2">
      <c r="A465" s="6" t="str">
        <f t="shared" si="10"/>
        <v>0010650100</v>
      </c>
      <c r="B465" s="6" t="str">
        <f>"583043"</f>
        <v>583043</v>
      </c>
      <c r="C465" s="6" t="s">
        <v>273</v>
      </c>
      <c r="D465" s="6" t="s">
        <v>270</v>
      </c>
      <c r="E465" s="6" t="s">
        <v>13</v>
      </c>
      <c r="F465" s="6">
        <v>100</v>
      </c>
      <c r="G465" s="6" t="s">
        <v>271</v>
      </c>
      <c r="H465" s="6" t="s">
        <v>272</v>
      </c>
      <c r="I465" s="6" t="s">
        <v>274</v>
      </c>
      <c r="J465" s="6" t="s">
        <v>20</v>
      </c>
      <c r="K465" s="7">
        <v>36.86</v>
      </c>
    </row>
    <row r="466" spans="1:11" s="4" customFormat="1" ht="20.399999999999999" x14ac:dyDescent="0.2">
      <c r="A466" s="6" t="str">
        <f t="shared" si="10"/>
        <v>0010650100</v>
      </c>
      <c r="B466" s="6" t="str">
        <f>"076577"</f>
        <v>076577</v>
      </c>
      <c r="C466" s="6" t="s">
        <v>275</v>
      </c>
      <c r="D466" s="6" t="s">
        <v>270</v>
      </c>
      <c r="E466" s="6" t="s">
        <v>13</v>
      </c>
      <c r="F466" s="6">
        <v>98</v>
      </c>
      <c r="G466" s="6" t="s">
        <v>271</v>
      </c>
      <c r="H466" s="6" t="s">
        <v>272</v>
      </c>
      <c r="I466" s="6" t="s">
        <v>124</v>
      </c>
      <c r="J466" s="6" t="s">
        <v>20</v>
      </c>
      <c r="K466" s="7">
        <v>36.119999999999997</v>
      </c>
    </row>
    <row r="467" spans="1:11" s="4" customFormat="1" ht="20.399999999999999" x14ac:dyDescent="0.2">
      <c r="A467" s="6" t="str">
        <f t="shared" si="10"/>
        <v>0010650100</v>
      </c>
      <c r="B467" s="6" t="str">
        <f>"086426"</f>
        <v>086426</v>
      </c>
      <c r="C467" s="6" t="s">
        <v>276</v>
      </c>
      <c r="D467" s="6" t="s">
        <v>270</v>
      </c>
      <c r="E467" s="6" t="s">
        <v>13</v>
      </c>
      <c r="F467" s="6">
        <v>98</v>
      </c>
      <c r="G467" s="6" t="s">
        <v>271</v>
      </c>
      <c r="H467" s="6" t="s">
        <v>272</v>
      </c>
      <c r="I467" s="6" t="s">
        <v>28</v>
      </c>
      <c r="J467" s="6" t="s">
        <v>20</v>
      </c>
      <c r="K467" s="7">
        <v>36.119999999999997</v>
      </c>
    </row>
    <row r="468" spans="1:11" s="4" customFormat="1" ht="20.399999999999999" x14ac:dyDescent="0.2">
      <c r="A468" s="6" t="str">
        <f t="shared" si="10"/>
        <v>0010650100</v>
      </c>
      <c r="B468" s="6" t="str">
        <f>"096203"</f>
        <v>096203</v>
      </c>
      <c r="C468" s="6" t="s">
        <v>278</v>
      </c>
      <c r="D468" s="6" t="s">
        <v>270</v>
      </c>
      <c r="E468" s="6" t="s">
        <v>13</v>
      </c>
      <c r="F468" s="6">
        <v>98</v>
      </c>
      <c r="G468" s="6" t="s">
        <v>271</v>
      </c>
      <c r="H468" s="6" t="s">
        <v>272</v>
      </c>
      <c r="I468" s="6" t="s">
        <v>67</v>
      </c>
      <c r="J468" s="6" t="s">
        <v>20</v>
      </c>
      <c r="K468" s="7">
        <v>36.119999999999997</v>
      </c>
    </row>
    <row r="469" spans="1:11" s="4" customFormat="1" ht="20.399999999999999" x14ac:dyDescent="0.2">
      <c r="A469" s="6" t="str">
        <f t="shared" si="10"/>
        <v>0010650100</v>
      </c>
      <c r="B469" s="6" t="str">
        <f>"070879"</f>
        <v>070879</v>
      </c>
      <c r="C469" s="6" t="s">
        <v>277</v>
      </c>
      <c r="D469" s="6" t="s">
        <v>270</v>
      </c>
      <c r="E469" s="6" t="s">
        <v>13</v>
      </c>
      <c r="F469" s="6">
        <v>98</v>
      </c>
      <c r="G469" s="6" t="s">
        <v>271</v>
      </c>
      <c r="H469" s="6" t="s">
        <v>272</v>
      </c>
      <c r="I469" s="6" t="s">
        <v>65</v>
      </c>
      <c r="J469" s="6" t="s">
        <v>20</v>
      </c>
      <c r="K469" s="7">
        <v>36.119999999999997</v>
      </c>
    </row>
    <row r="470" spans="1:11" s="4" customFormat="1" ht="10.199999999999999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7"/>
    </row>
    <row r="471" spans="1:11" s="4" customFormat="1" ht="10.199999999999999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7"/>
    </row>
    <row r="472" spans="1:11" s="4" customFormat="1" ht="20.399999999999999" x14ac:dyDescent="0.2">
      <c r="A472" s="6" t="str">
        <f>"0010660030"</f>
        <v>0010660030</v>
      </c>
      <c r="B472" s="6" t="str">
        <f>"003009"</f>
        <v>003009</v>
      </c>
      <c r="C472" s="6" t="s">
        <v>279</v>
      </c>
      <c r="D472" s="6" t="s">
        <v>280</v>
      </c>
      <c r="E472" s="6" t="s">
        <v>13</v>
      </c>
      <c r="F472" s="6">
        <v>28</v>
      </c>
      <c r="G472" s="6" t="s">
        <v>271</v>
      </c>
      <c r="H472" s="6" t="s">
        <v>272</v>
      </c>
      <c r="I472" s="6" t="s">
        <v>207</v>
      </c>
      <c r="J472" s="6" t="s">
        <v>17</v>
      </c>
      <c r="K472" s="7">
        <v>21.26</v>
      </c>
    </row>
    <row r="473" spans="1:11" s="4" customFormat="1" ht="20.399999999999999" x14ac:dyDescent="0.2">
      <c r="A473" s="6" t="str">
        <f>"0010660030"</f>
        <v>0010660030</v>
      </c>
      <c r="B473" s="6" t="str">
        <f>"135113"</f>
        <v>135113</v>
      </c>
      <c r="C473" s="6" t="s">
        <v>273</v>
      </c>
      <c r="D473" s="6" t="s">
        <v>280</v>
      </c>
      <c r="E473" s="6" t="s">
        <v>13</v>
      </c>
      <c r="F473" s="6">
        <v>30</v>
      </c>
      <c r="G473" s="6" t="s">
        <v>271</v>
      </c>
      <c r="H473" s="6" t="s">
        <v>272</v>
      </c>
      <c r="I473" s="6" t="s">
        <v>274</v>
      </c>
      <c r="J473" s="6" t="s">
        <v>20</v>
      </c>
      <c r="K473" s="7">
        <v>13.67</v>
      </c>
    </row>
    <row r="474" spans="1:11" s="4" customFormat="1" ht="20.399999999999999" x14ac:dyDescent="0.2">
      <c r="A474" s="6" t="str">
        <f>"0010660030"</f>
        <v>0010660030</v>
      </c>
      <c r="B474" s="6" t="str">
        <f>"076543"</f>
        <v>076543</v>
      </c>
      <c r="C474" s="6" t="s">
        <v>275</v>
      </c>
      <c r="D474" s="6" t="s">
        <v>280</v>
      </c>
      <c r="E474" s="6" t="s">
        <v>13</v>
      </c>
      <c r="F474" s="6">
        <v>28</v>
      </c>
      <c r="G474" s="6" t="s">
        <v>271</v>
      </c>
      <c r="H474" s="6" t="s">
        <v>272</v>
      </c>
      <c r="I474" s="6" t="s">
        <v>124</v>
      </c>
      <c r="J474" s="6" t="s">
        <v>20</v>
      </c>
      <c r="K474" s="7">
        <v>12.76</v>
      </c>
    </row>
    <row r="475" spans="1:11" s="4" customFormat="1" ht="20.399999999999999" x14ac:dyDescent="0.2">
      <c r="A475" s="6" t="str">
        <f>"0010660030"</f>
        <v>0010660030</v>
      </c>
      <c r="B475" s="6" t="str">
        <f>"086437"</f>
        <v>086437</v>
      </c>
      <c r="C475" s="6" t="s">
        <v>276</v>
      </c>
      <c r="D475" s="6" t="s">
        <v>280</v>
      </c>
      <c r="E475" s="6" t="s">
        <v>13</v>
      </c>
      <c r="F475" s="6">
        <v>28</v>
      </c>
      <c r="G475" s="6" t="s">
        <v>271</v>
      </c>
      <c r="H475" s="6" t="s">
        <v>272</v>
      </c>
      <c r="I475" s="6" t="s">
        <v>28</v>
      </c>
      <c r="J475" s="6" t="s">
        <v>20</v>
      </c>
      <c r="K475" s="7">
        <v>12.76</v>
      </c>
    </row>
    <row r="476" spans="1:11" s="4" customFormat="1" ht="20.399999999999999" x14ac:dyDescent="0.2">
      <c r="A476" s="6" t="str">
        <f>"0010660030"</f>
        <v>0010660030</v>
      </c>
      <c r="B476" s="6" t="str">
        <f>"070890"</f>
        <v>070890</v>
      </c>
      <c r="C476" s="6" t="s">
        <v>277</v>
      </c>
      <c r="D476" s="6" t="s">
        <v>280</v>
      </c>
      <c r="E476" s="6" t="s">
        <v>13</v>
      </c>
      <c r="F476" s="6">
        <v>28</v>
      </c>
      <c r="G476" s="6" t="s">
        <v>271</v>
      </c>
      <c r="H476" s="6" t="s">
        <v>272</v>
      </c>
      <c r="I476" s="6" t="s">
        <v>65</v>
      </c>
      <c r="J476" s="6" t="s">
        <v>20</v>
      </c>
      <c r="K476" s="7">
        <v>12.76</v>
      </c>
    </row>
    <row r="477" spans="1:11" s="4" customFormat="1" ht="10.199999999999999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7"/>
    </row>
    <row r="478" spans="1:11" s="4" customFormat="1" ht="10.199999999999999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7"/>
    </row>
    <row r="479" spans="1:11" s="4" customFormat="1" ht="20.399999999999999" x14ac:dyDescent="0.2">
      <c r="A479" s="6" t="str">
        <f t="shared" ref="A479:A485" si="11">"0010660100"</f>
        <v>0010660100</v>
      </c>
      <c r="B479" s="6" t="str">
        <f>"003023"</f>
        <v>003023</v>
      </c>
      <c r="C479" s="6" t="s">
        <v>279</v>
      </c>
      <c r="D479" s="6" t="s">
        <v>280</v>
      </c>
      <c r="E479" s="6" t="s">
        <v>13</v>
      </c>
      <c r="F479" s="6">
        <v>98</v>
      </c>
      <c r="G479" s="6" t="s">
        <v>271</v>
      </c>
      <c r="H479" s="6" t="s">
        <v>272</v>
      </c>
      <c r="I479" s="6" t="s">
        <v>207</v>
      </c>
      <c r="J479" s="6" t="s">
        <v>17</v>
      </c>
      <c r="K479" s="7">
        <v>72.97</v>
      </c>
    </row>
    <row r="480" spans="1:11" s="4" customFormat="1" ht="20.399999999999999" x14ac:dyDescent="0.2">
      <c r="A480" s="6" t="str">
        <f t="shared" si="11"/>
        <v>0010660100</v>
      </c>
      <c r="B480" s="6" t="str">
        <f>"112274"</f>
        <v>112274</v>
      </c>
      <c r="C480" s="6" t="s">
        <v>273</v>
      </c>
      <c r="D480" s="6" t="s">
        <v>280</v>
      </c>
      <c r="E480" s="6" t="s">
        <v>13</v>
      </c>
      <c r="F480" s="6">
        <v>100</v>
      </c>
      <c r="G480" s="6" t="s">
        <v>271</v>
      </c>
      <c r="H480" s="6" t="s">
        <v>272</v>
      </c>
      <c r="I480" s="6" t="s">
        <v>274</v>
      </c>
      <c r="J480" s="6" t="s">
        <v>20</v>
      </c>
      <c r="K480" s="7">
        <v>44.68</v>
      </c>
    </row>
    <row r="481" spans="1:11" s="4" customFormat="1" ht="20.399999999999999" x14ac:dyDescent="0.2">
      <c r="A481" s="6" t="str">
        <f t="shared" si="11"/>
        <v>0010660100</v>
      </c>
      <c r="B481" s="6" t="str">
        <f>"117760"</f>
        <v>117760</v>
      </c>
      <c r="C481" s="6" t="s">
        <v>273</v>
      </c>
      <c r="D481" s="6" t="s">
        <v>280</v>
      </c>
      <c r="E481" s="6" t="s">
        <v>13</v>
      </c>
      <c r="F481" s="6">
        <v>100</v>
      </c>
      <c r="G481" s="6" t="s">
        <v>271</v>
      </c>
      <c r="H481" s="6" t="s">
        <v>272</v>
      </c>
      <c r="I481" s="6" t="s">
        <v>274</v>
      </c>
      <c r="J481" s="6" t="s">
        <v>20</v>
      </c>
      <c r="K481" s="7">
        <v>44.68</v>
      </c>
    </row>
    <row r="482" spans="1:11" s="4" customFormat="1" ht="20.399999999999999" x14ac:dyDescent="0.2">
      <c r="A482" s="6" t="str">
        <f t="shared" si="11"/>
        <v>0010660100</v>
      </c>
      <c r="B482" s="6" t="str">
        <f>"076555"</f>
        <v>076555</v>
      </c>
      <c r="C482" s="6" t="s">
        <v>275</v>
      </c>
      <c r="D482" s="6" t="s">
        <v>280</v>
      </c>
      <c r="E482" s="6" t="s">
        <v>13</v>
      </c>
      <c r="F482" s="6">
        <v>98</v>
      </c>
      <c r="G482" s="6" t="s">
        <v>271</v>
      </c>
      <c r="H482" s="6" t="s">
        <v>272</v>
      </c>
      <c r="I482" s="6" t="s">
        <v>124</v>
      </c>
      <c r="J482" s="6" t="s">
        <v>20</v>
      </c>
      <c r="K482" s="7">
        <v>43.79</v>
      </c>
    </row>
    <row r="483" spans="1:11" s="4" customFormat="1" ht="20.399999999999999" x14ac:dyDescent="0.2">
      <c r="A483" s="6" t="str">
        <f t="shared" si="11"/>
        <v>0010660100</v>
      </c>
      <c r="B483" s="6" t="str">
        <f>"086448"</f>
        <v>086448</v>
      </c>
      <c r="C483" s="6" t="s">
        <v>276</v>
      </c>
      <c r="D483" s="6" t="s">
        <v>280</v>
      </c>
      <c r="E483" s="6" t="s">
        <v>13</v>
      </c>
      <c r="F483" s="6">
        <v>98</v>
      </c>
      <c r="G483" s="6" t="s">
        <v>271</v>
      </c>
      <c r="H483" s="6" t="s">
        <v>272</v>
      </c>
      <c r="I483" s="6" t="s">
        <v>28</v>
      </c>
      <c r="J483" s="6" t="s">
        <v>20</v>
      </c>
      <c r="K483" s="7">
        <v>43.79</v>
      </c>
    </row>
    <row r="484" spans="1:11" s="4" customFormat="1" ht="20.399999999999999" x14ac:dyDescent="0.2">
      <c r="A484" s="6" t="str">
        <f t="shared" si="11"/>
        <v>0010660100</v>
      </c>
      <c r="B484" s="6" t="str">
        <f>"096227"</f>
        <v>096227</v>
      </c>
      <c r="C484" s="6" t="s">
        <v>278</v>
      </c>
      <c r="D484" s="6" t="s">
        <v>280</v>
      </c>
      <c r="E484" s="6" t="s">
        <v>13</v>
      </c>
      <c r="F484" s="6">
        <v>98</v>
      </c>
      <c r="G484" s="6" t="s">
        <v>271</v>
      </c>
      <c r="H484" s="6" t="s">
        <v>272</v>
      </c>
      <c r="I484" s="6" t="s">
        <v>67</v>
      </c>
      <c r="J484" s="6" t="s">
        <v>20</v>
      </c>
      <c r="K484" s="7">
        <v>43.79</v>
      </c>
    </row>
    <row r="485" spans="1:11" s="4" customFormat="1" ht="20.399999999999999" x14ac:dyDescent="0.2">
      <c r="A485" s="6" t="str">
        <f t="shared" si="11"/>
        <v>0010660100</v>
      </c>
      <c r="B485" s="6" t="str">
        <f>"070901"</f>
        <v>070901</v>
      </c>
      <c r="C485" s="6" t="s">
        <v>277</v>
      </c>
      <c r="D485" s="6" t="s">
        <v>280</v>
      </c>
      <c r="E485" s="6" t="s">
        <v>13</v>
      </c>
      <c r="F485" s="6">
        <v>98</v>
      </c>
      <c r="G485" s="6" t="s">
        <v>271</v>
      </c>
      <c r="H485" s="6" t="s">
        <v>272</v>
      </c>
      <c r="I485" s="6" t="s">
        <v>65</v>
      </c>
      <c r="J485" s="6" t="s">
        <v>20</v>
      </c>
      <c r="K485" s="7">
        <v>43.79</v>
      </c>
    </row>
    <row r="486" spans="1:11" s="4" customFormat="1" ht="10.199999999999999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7"/>
    </row>
    <row r="487" spans="1:11" s="4" customFormat="1" ht="10.199999999999999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7"/>
    </row>
    <row r="488" spans="1:11" s="4" customFormat="1" ht="20.399999999999999" x14ac:dyDescent="0.2">
      <c r="A488" s="6" t="str">
        <f>"0011500030"</f>
        <v>0011500030</v>
      </c>
      <c r="B488" s="6" t="str">
        <f>"048288"</f>
        <v>048288</v>
      </c>
      <c r="C488" s="6" t="s">
        <v>269</v>
      </c>
      <c r="D488" s="6" t="s">
        <v>281</v>
      </c>
      <c r="E488" s="6" t="s">
        <v>13</v>
      </c>
      <c r="F488" s="6">
        <v>28</v>
      </c>
      <c r="G488" s="6" t="s">
        <v>271</v>
      </c>
      <c r="H488" s="6" t="s">
        <v>272</v>
      </c>
      <c r="I488" s="6" t="s">
        <v>207</v>
      </c>
      <c r="J488" s="6" t="s">
        <v>17</v>
      </c>
      <c r="K488" s="7">
        <v>18.18</v>
      </c>
    </row>
    <row r="489" spans="1:11" s="4" customFormat="1" ht="20.399999999999999" x14ac:dyDescent="0.2">
      <c r="A489" s="6" t="str">
        <f>"0011500030"</f>
        <v>0011500030</v>
      </c>
      <c r="B489" s="6" t="str">
        <f>"444622"</f>
        <v>444622</v>
      </c>
      <c r="C489" s="6" t="s">
        <v>273</v>
      </c>
      <c r="D489" s="6" t="s">
        <v>281</v>
      </c>
      <c r="E489" s="6" t="s">
        <v>13</v>
      </c>
      <c r="F489" s="6">
        <v>30</v>
      </c>
      <c r="G489" s="6" t="s">
        <v>271</v>
      </c>
      <c r="H489" s="6" t="s">
        <v>272</v>
      </c>
      <c r="I489" s="6" t="s">
        <v>274</v>
      </c>
      <c r="J489" s="6" t="s">
        <v>20</v>
      </c>
      <c r="K489" s="7">
        <v>11.69</v>
      </c>
    </row>
    <row r="490" spans="1:11" s="4" customFormat="1" ht="20.399999999999999" x14ac:dyDescent="0.2">
      <c r="A490" s="6" t="str">
        <f>"0011500030"</f>
        <v>0011500030</v>
      </c>
      <c r="B490" s="6" t="str">
        <f>"084164"</f>
        <v>084164</v>
      </c>
      <c r="C490" s="6" t="s">
        <v>277</v>
      </c>
      <c r="D490" s="6" t="s">
        <v>281</v>
      </c>
      <c r="E490" s="6" t="s">
        <v>13</v>
      </c>
      <c r="F490" s="6">
        <v>30</v>
      </c>
      <c r="G490" s="6" t="s">
        <v>271</v>
      </c>
      <c r="H490" s="6" t="s">
        <v>272</v>
      </c>
      <c r="I490" s="6" t="s">
        <v>65</v>
      </c>
      <c r="J490" s="6" t="s">
        <v>20</v>
      </c>
      <c r="K490" s="7">
        <v>11.69</v>
      </c>
    </row>
    <row r="491" spans="1:11" s="4" customFormat="1" ht="20.399999999999999" x14ac:dyDescent="0.2">
      <c r="A491" s="6" t="str">
        <f>"0011500030"</f>
        <v>0011500030</v>
      </c>
      <c r="B491" s="6" t="str">
        <f>"030977"</f>
        <v>030977</v>
      </c>
      <c r="C491" s="6" t="s">
        <v>282</v>
      </c>
      <c r="D491" s="6" t="s">
        <v>281</v>
      </c>
      <c r="E491" s="6" t="s">
        <v>13</v>
      </c>
      <c r="F491" s="6">
        <v>28</v>
      </c>
      <c r="G491" s="6" t="s">
        <v>271</v>
      </c>
      <c r="H491" s="6" t="s">
        <v>272</v>
      </c>
      <c r="I491" s="6" t="s">
        <v>37</v>
      </c>
      <c r="J491" s="6" t="s">
        <v>20</v>
      </c>
      <c r="K491" s="7">
        <v>10.9</v>
      </c>
    </row>
    <row r="492" spans="1:11" s="4" customFormat="1" ht="20.399999999999999" x14ac:dyDescent="0.2">
      <c r="A492" s="6" t="str">
        <f>"0011500030"</f>
        <v>0011500030</v>
      </c>
      <c r="B492" s="6" t="str">
        <f>"082580"</f>
        <v>082580</v>
      </c>
      <c r="C492" s="6" t="s">
        <v>277</v>
      </c>
      <c r="D492" s="6" t="s">
        <v>281</v>
      </c>
      <c r="E492" s="6" t="s">
        <v>13</v>
      </c>
      <c r="F492" s="6">
        <v>28</v>
      </c>
      <c r="G492" s="6" t="s">
        <v>271</v>
      </c>
      <c r="H492" s="6" t="s">
        <v>272</v>
      </c>
      <c r="I492" s="6" t="s">
        <v>65</v>
      </c>
      <c r="J492" s="6" t="s">
        <v>20</v>
      </c>
      <c r="K492" s="7">
        <v>10.9</v>
      </c>
    </row>
    <row r="493" spans="1:11" s="4" customFormat="1" ht="10.199999999999999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7"/>
    </row>
    <row r="494" spans="1:11" s="4" customFormat="1" ht="10.199999999999999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7"/>
    </row>
    <row r="495" spans="1:11" s="4" customFormat="1" ht="20.399999999999999" x14ac:dyDescent="0.2">
      <c r="A495" s="6" t="str">
        <f>"0011500100"</f>
        <v>0011500100</v>
      </c>
      <c r="B495" s="6" t="str">
        <f>"048297"</f>
        <v>048297</v>
      </c>
      <c r="C495" s="6" t="s">
        <v>269</v>
      </c>
      <c r="D495" s="6" t="s">
        <v>281</v>
      </c>
      <c r="E495" s="6" t="s">
        <v>13</v>
      </c>
      <c r="F495" s="6">
        <v>98</v>
      </c>
      <c r="G495" s="6" t="s">
        <v>271</v>
      </c>
      <c r="H495" s="6" t="s">
        <v>272</v>
      </c>
      <c r="I495" s="6" t="s">
        <v>207</v>
      </c>
      <c r="J495" s="6" t="s">
        <v>17</v>
      </c>
      <c r="K495" s="7">
        <v>54.87</v>
      </c>
    </row>
    <row r="496" spans="1:11" s="4" customFormat="1" ht="20.399999999999999" x14ac:dyDescent="0.2">
      <c r="A496" s="6" t="str">
        <f>"0011500100"</f>
        <v>0011500100</v>
      </c>
      <c r="B496" s="6" t="str">
        <f>"084175"</f>
        <v>084175</v>
      </c>
      <c r="C496" s="6" t="s">
        <v>277</v>
      </c>
      <c r="D496" s="6" t="s">
        <v>281</v>
      </c>
      <c r="E496" s="6" t="s">
        <v>13</v>
      </c>
      <c r="F496" s="6">
        <v>100</v>
      </c>
      <c r="G496" s="6" t="s">
        <v>271</v>
      </c>
      <c r="H496" s="6" t="s">
        <v>272</v>
      </c>
      <c r="I496" s="6" t="s">
        <v>65</v>
      </c>
      <c r="J496" s="6" t="s">
        <v>20</v>
      </c>
      <c r="K496" s="7">
        <v>33.590000000000003</v>
      </c>
    </row>
    <row r="497" spans="1:11" s="4" customFormat="1" ht="20.399999999999999" x14ac:dyDescent="0.2">
      <c r="A497" s="6" t="str">
        <f>"0011500100"</f>
        <v>0011500100</v>
      </c>
      <c r="B497" s="6" t="str">
        <f>"106432"</f>
        <v>106432</v>
      </c>
      <c r="C497" s="6" t="s">
        <v>282</v>
      </c>
      <c r="D497" s="6" t="s">
        <v>281</v>
      </c>
      <c r="E497" s="6" t="s">
        <v>13</v>
      </c>
      <c r="F497" s="6">
        <v>100</v>
      </c>
      <c r="G497" s="6" t="s">
        <v>271</v>
      </c>
      <c r="H497" s="6" t="s">
        <v>272</v>
      </c>
      <c r="I497" s="6" t="s">
        <v>37</v>
      </c>
      <c r="J497" s="6" t="s">
        <v>20</v>
      </c>
      <c r="K497" s="7">
        <v>33.590000000000003</v>
      </c>
    </row>
    <row r="498" spans="1:11" s="4" customFormat="1" ht="20.399999999999999" x14ac:dyDescent="0.2">
      <c r="A498" s="6" t="str">
        <f>"0011500100"</f>
        <v>0011500100</v>
      </c>
      <c r="B498" s="6" t="str">
        <f>"473135"</f>
        <v>473135</v>
      </c>
      <c r="C498" s="6" t="s">
        <v>273</v>
      </c>
      <c r="D498" s="6" t="s">
        <v>281</v>
      </c>
      <c r="E498" s="6" t="s">
        <v>13</v>
      </c>
      <c r="F498" s="6">
        <v>100</v>
      </c>
      <c r="G498" s="6" t="s">
        <v>271</v>
      </c>
      <c r="H498" s="6" t="s">
        <v>272</v>
      </c>
      <c r="I498" s="6" t="s">
        <v>274</v>
      </c>
      <c r="J498" s="6" t="s">
        <v>20</v>
      </c>
      <c r="K498" s="7">
        <v>33.590000000000003</v>
      </c>
    </row>
    <row r="499" spans="1:11" s="4" customFormat="1" ht="20.399999999999999" x14ac:dyDescent="0.2">
      <c r="A499" s="6" t="str">
        <f>"0011500100"</f>
        <v>0011500100</v>
      </c>
      <c r="B499" s="6" t="str">
        <f>"082591"</f>
        <v>082591</v>
      </c>
      <c r="C499" s="6" t="s">
        <v>277</v>
      </c>
      <c r="D499" s="6" t="s">
        <v>281</v>
      </c>
      <c r="E499" s="6" t="s">
        <v>13</v>
      </c>
      <c r="F499" s="6">
        <v>98</v>
      </c>
      <c r="G499" s="6" t="s">
        <v>271</v>
      </c>
      <c r="H499" s="6" t="s">
        <v>272</v>
      </c>
      <c r="I499" s="6" t="s">
        <v>65</v>
      </c>
      <c r="J499" s="6" t="s">
        <v>20</v>
      </c>
      <c r="K499" s="7">
        <v>32.92</v>
      </c>
    </row>
    <row r="500" spans="1:11" s="4" customFormat="1" ht="10.199999999999999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7"/>
    </row>
    <row r="501" spans="1:11" s="4" customFormat="1" ht="10.199999999999999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7"/>
    </row>
    <row r="502" spans="1:11" s="4" customFormat="1" ht="20.399999999999999" x14ac:dyDescent="0.2">
      <c r="A502" s="6" t="str">
        <f>"0009190030"</f>
        <v>0009190030</v>
      </c>
      <c r="B502" s="6" t="str">
        <f>"022532"</f>
        <v>022532</v>
      </c>
      <c r="C502" s="6" t="s">
        <v>283</v>
      </c>
      <c r="D502" s="6" t="s">
        <v>284</v>
      </c>
      <c r="E502" s="6" t="s">
        <v>13</v>
      </c>
      <c r="F502" s="6">
        <v>28</v>
      </c>
      <c r="G502" s="6" t="s">
        <v>285</v>
      </c>
      <c r="H502" s="6" t="s">
        <v>286</v>
      </c>
      <c r="I502" s="6" t="s">
        <v>63</v>
      </c>
      <c r="J502" s="6" t="s">
        <v>17</v>
      </c>
      <c r="K502" s="7">
        <v>20.58</v>
      </c>
    </row>
    <row r="503" spans="1:11" s="4" customFormat="1" ht="20.399999999999999" x14ac:dyDescent="0.2">
      <c r="A503" s="6" t="str">
        <f>"0009190030"</f>
        <v>0009190030</v>
      </c>
      <c r="B503" s="6" t="str">
        <f>"055119"</f>
        <v>055119</v>
      </c>
      <c r="C503" s="6" t="s">
        <v>287</v>
      </c>
      <c r="D503" s="6" t="s">
        <v>284</v>
      </c>
      <c r="E503" s="6" t="s">
        <v>13</v>
      </c>
      <c r="F503" s="6">
        <v>28</v>
      </c>
      <c r="G503" s="6" t="s">
        <v>285</v>
      </c>
      <c r="H503" s="6" t="s">
        <v>286</v>
      </c>
      <c r="I503" s="6" t="s">
        <v>35</v>
      </c>
      <c r="J503" s="6" t="s">
        <v>20</v>
      </c>
      <c r="K503" s="7">
        <v>12.63</v>
      </c>
    </row>
    <row r="504" spans="1:11" s="4" customFormat="1" ht="20.399999999999999" x14ac:dyDescent="0.2">
      <c r="A504" s="6" t="str">
        <f>"0009190030"</f>
        <v>0009190030</v>
      </c>
      <c r="B504" s="6" t="str">
        <f>"176089"</f>
        <v>176089</v>
      </c>
      <c r="C504" s="6" t="s">
        <v>288</v>
      </c>
      <c r="D504" s="6" t="s">
        <v>284</v>
      </c>
      <c r="E504" s="6" t="s">
        <v>13</v>
      </c>
      <c r="F504" s="6">
        <v>28</v>
      </c>
      <c r="G504" s="6" t="s">
        <v>285</v>
      </c>
      <c r="H504" s="6" t="s">
        <v>286</v>
      </c>
      <c r="I504" s="6" t="s">
        <v>37</v>
      </c>
      <c r="J504" s="6" t="s">
        <v>20</v>
      </c>
      <c r="K504" s="7">
        <v>12.63</v>
      </c>
    </row>
    <row r="505" spans="1:11" s="4" customFormat="1" ht="10.199999999999999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7"/>
    </row>
    <row r="506" spans="1:11" s="4" customFormat="1" ht="10.199999999999999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7"/>
    </row>
    <row r="507" spans="1:11" s="4" customFormat="1" ht="20.399999999999999" x14ac:dyDescent="0.2">
      <c r="A507" s="6" t="str">
        <f t="shared" ref="A507:A512" si="12">"0009190100"</f>
        <v>0009190100</v>
      </c>
      <c r="B507" s="6" t="str">
        <f>"022708"</f>
        <v>022708</v>
      </c>
      <c r="C507" s="6" t="s">
        <v>283</v>
      </c>
      <c r="D507" s="6" t="s">
        <v>284</v>
      </c>
      <c r="E507" s="6" t="s">
        <v>13</v>
      </c>
      <c r="F507" s="6">
        <v>98</v>
      </c>
      <c r="G507" s="6" t="s">
        <v>285</v>
      </c>
      <c r="H507" s="6" t="s">
        <v>286</v>
      </c>
      <c r="I507" s="6" t="s">
        <v>63</v>
      </c>
      <c r="J507" s="6" t="s">
        <v>17</v>
      </c>
      <c r="K507" s="7">
        <v>65.430000000000007</v>
      </c>
    </row>
    <row r="508" spans="1:11" s="4" customFormat="1" ht="20.399999999999999" x14ac:dyDescent="0.2">
      <c r="A508" s="6" t="str">
        <f t="shared" si="12"/>
        <v>0009190100</v>
      </c>
      <c r="B508" s="6" t="str">
        <f>"055130"</f>
        <v>055130</v>
      </c>
      <c r="C508" s="6" t="s">
        <v>287</v>
      </c>
      <c r="D508" s="6" t="s">
        <v>284</v>
      </c>
      <c r="E508" s="6" t="s">
        <v>13</v>
      </c>
      <c r="F508" s="6">
        <v>98</v>
      </c>
      <c r="G508" s="6" t="s">
        <v>285</v>
      </c>
      <c r="H508" s="6" t="s">
        <v>286</v>
      </c>
      <c r="I508" s="6" t="s">
        <v>35</v>
      </c>
      <c r="J508" s="6" t="s">
        <v>20</v>
      </c>
      <c r="K508" s="7">
        <v>40.159999999999997</v>
      </c>
    </row>
    <row r="509" spans="1:11" s="4" customFormat="1" ht="20.399999999999999" x14ac:dyDescent="0.2">
      <c r="A509" s="6" t="str">
        <f t="shared" si="12"/>
        <v>0009190100</v>
      </c>
      <c r="B509" s="6" t="str">
        <f>"159295"</f>
        <v>159295</v>
      </c>
      <c r="C509" s="6" t="s">
        <v>289</v>
      </c>
      <c r="D509" s="6" t="s">
        <v>284</v>
      </c>
      <c r="E509" s="6" t="s">
        <v>13</v>
      </c>
      <c r="F509" s="6">
        <v>98</v>
      </c>
      <c r="G509" s="6" t="s">
        <v>285</v>
      </c>
      <c r="H509" s="6" t="s">
        <v>286</v>
      </c>
      <c r="I509" s="6" t="s">
        <v>19</v>
      </c>
      <c r="J509" s="6" t="s">
        <v>20</v>
      </c>
      <c r="K509" s="7">
        <v>40.159999999999997</v>
      </c>
    </row>
    <row r="510" spans="1:11" s="4" customFormat="1" ht="20.399999999999999" x14ac:dyDescent="0.2">
      <c r="A510" s="6" t="str">
        <f t="shared" si="12"/>
        <v>0009190100</v>
      </c>
      <c r="B510" s="6" t="str">
        <f>"412662"</f>
        <v>412662</v>
      </c>
      <c r="C510" s="6" t="s">
        <v>290</v>
      </c>
      <c r="D510" s="6" t="s">
        <v>284</v>
      </c>
      <c r="E510" s="6" t="s">
        <v>13</v>
      </c>
      <c r="F510" s="6">
        <v>98</v>
      </c>
      <c r="G510" s="6" t="s">
        <v>285</v>
      </c>
      <c r="H510" s="6" t="s">
        <v>286</v>
      </c>
      <c r="I510" s="6" t="s">
        <v>28</v>
      </c>
      <c r="J510" s="6" t="s">
        <v>20</v>
      </c>
      <c r="K510" s="7">
        <v>40.159999999999997</v>
      </c>
    </row>
    <row r="511" spans="1:11" s="4" customFormat="1" ht="20.399999999999999" x14ac:dyDescent="0.2">
      <c r="A511" s="6" t="str">
        <f t="shared" si="12"/>
        <v>0009190100</v>
      </c>
      <c r="B511" s="6" t="str">
        <f>"579156"</f>
        <v>579156</v>
      </c>
      <c r="C511" s="6" t="s">
        <v>291</v>
      </c>
      <c r="D511" s="6" t="s">
        <v>284</v>
      </c>
      <c r="E511" s="6" t="s">
        <v>13</v>
      </c>
      <c r="F511" s="6">
        <v>98</v>
      </c>
      <c r="G511" s="6" t="s">
        <v>285</v>
      </c>
      <c r="H511" s="6" t="s">
        <v>286</v>
      </c>
      <c r="I511" s="6" t="s">
        <v>65</v>
      </c>
      <c r="J511" s="6" t="s">
        <v>20</v>
      </c>
      <c r="K511" s="7">
        <v>40.159999999999997</v>
      </c>
    </row>
    <row r="512" spans="1:11" s="4" customFormat="1" ht="20.399999999999999" x14ac:dyDescent="0.2">
      <c r="A512" s="6" t="str">
        <f t="shared" si="12"/>
        <v>0009190100</v>
      </c>
      <c r="B512" s="6" t="str">
        <f>"593215"</f>
        <v>593215</v>
      </c>
      <c r="C512" s="6" t="s">
        <v>288</v>
      </c>
      <c r="D512" s="6" t="s">
        <v>284</v>
      </c>
      <c r="E512" s="6" t="s">
        <v>13</v>
      </c>
      <c r="F512" s="6">
        <v>98</v>
      </c>
      <c r="G512" s="6" t="s">
        <v>285</v>
      </c>
      <c r="H512" s="6" t="s">
        <v>286</v>
      </c>
      <c r="I512" s="6" t="s">
        <v>37</v>
      </c>
      <c r="J512" s="6" t="s">
        <v>20</v>
      </c>
      <c r="K512" s="7">
        <v>40.159999999999997</v>
      </c>
    </row>
    <row r="513" spans="1:11" s="4" customFormat="1" ht="10.199999999999999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7"/>
    </row>
    <row r="514" spans="1:11" s="4" customFormat="1" ht="10.199999999999999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7"/>
    </row>
    <row r="515" spans="1:11" s="4" customFormat="1" ht="20.399999999999999" x14ac:dyDescent="0.2">
      <c r="A515" s="6" t="str">
        <f>"0010710030"</f>
        <v>0010710030</v>
      </c>
      <c r="B515" s="6" t="str">
        <f>"436022"</f>
        <v>436022</v>
      </c>
      <c r="C515" s="6" t="s">
        <v>283</v>
      </c>
      <c r="D515" s="6" t="s">
        <v>292</v>
      </c>
      <c r="E515" s="6" t="s">
        <v>13</v>
      </c>
      <c r="F515" s="6">
        <v>28</v>
      </c>
      <c r="G515" s="6" t="s">
        <v>285</v>
      </c>
      <c r="H515" s="6" t="s">
        <v>286</v>
      </c>
      <c r="I515" s="6" t="s">
        <v>63</v>
      </c>
      <c r="J515" s="6" t="s">
        <v>17</v>
      </c>
      <c r="K515" s="7">
        <v>17.149999999999999</v>
      </c>
    </row>
    <row r="516" spans="1:11" s="4" customFormat="1" ht="20.399999999999999" x14ac:dyDescent="0.2">
      <c r="A516" s="6" t="str">
        <f>"0010710030"</f>
        <v>0010710030</v>
      </c>
      <c r="B516" s="6" t="str">
        <f>"391949"</f>
        <v>391949</v>
      </c>
      <c r="C516" s="6" t="s">
        <v>291</v>
      </c>
      <c r="D516" s="6" t="s">
        <v>292</v>
      </c>
      <c r="E516" s="6" t="s">
        <v>13</v>
      </c>
      <c r="F516" s="6">
        <v>28</v>
      </c>
      <c r="G516" s="6" t="s">
        <v>285</v>
      </c>
      <c r="H516" s="6" t="s">
        <v>286</v>
      </c>
      <c r="I516" s="6" t="s">
        <v>65</v>
      </c>
      <c r="J516" s="6" t="s">
        <v>20</v>
      </c>
      <c r="K516" s="7">
        <v>10.53</v>
      </c>
    </row>
    <row r="517" spans="1:11" s="4" customFormat="1" ht="10.199999999999999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7"/>
    </row>
    <row r="518" spans="1:11" s="4" customFormat="1" ht="10.199999999999999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7"/>
    </row>
    <row r="519" spans="1:11" s="4" customFormat="1" ht="20.399999999999999" x14ac:dyDescent="0.2">
      <c r="A519" s="6" t="str">
        <f t="shared" ref="A519:A524" si="13">"0010710100"</f>
        <v>0010710100</v>
      </c>
      <c r="B519" s="6" t="str">
        <f>"436030"</f>
        <v>436030</v>
      </c>
      <c r="C519" s="6" t="s">
        <v>283</v>
      </c>
      <c r="D519" s="6" t="s">
        <v>292</v>
      </c>
      <c r="E519" s="6" t="s">
        <v>13</v>
      </c>
      <c r="F519" s="6">
        <v>98</v>
      </c>
      <c r="G519" s="6" t="s">
        <v>285</v>
      </c>
      <c r="H519" s="6" t="s">
        <v>286</v>
      </c>
      <c r="I519" s="6" t="s">
        <v>63</v>
      </c>
      <c r="J519" s="6" t="s">
        <v>17</v>
      </c>
      <c r="K519" s="7">
        <v>53.66</v>
      </c>
    </row>
    <row r="520" spans="1:11" s="4" customFormat="1" ht="20.399999999999999" x14ac:dyDescent="0.2">
      <c r="A520" s="6" t="str">
        <f t="shared" si="13"/>
        <v>0010710100</v>
      </c>
      <c r="B520" s="6" t="str">
        <f>"055108"</f>
        <v>055108</v>
      </c>
      <c r="C520" s="6" t="s">
        <v>287</v>
      </c>
      <c r="D520" s="6" t="s">
        <v>292</v>
      </c>
      <c r="E520" s="6" t="s">
        <v>13</v>
      </c>
      <c r="F520" s="6">
        <v>98</v>
      </c>
      <c r="G520" s="6" t="s">
        <v>285</v>
      </c>
      <c r="H520" s="6" t="s">
        <v>286</v>
      </c>
      <c r="I520" s="6" t="s">
        <v>35</v>
      </c>
      <c r="J520" s="6" t="s">
        <v>20</v>
      </c>
      <c r="K520" s="7">
        <v>32.94</v>
      </c>
    </row>
    <row r="521" spans="1:11" s="4" customFormat="1" ht="20.399999999999999" x14ac:dyDescent="0.2">
      <c r="A521" s="6" t="str">
        <f t="shared" si="13"/>
        <v>0010710100</v>
      </c>
      <c r="B521" s="6" t="str">
        <f>"065229"</f>
        <v>065229</v>
      </c>
      <c r="C521" s="6" t="s">
        <v>288</v>
      </c>
      <c r="D521" s="6" t="s">
        <v>292</v>
      </c>
      <c r="E521" s="6" t="s">
        <v>13</v>
      </c>
      <c r="F521" s="6">
        <v>98</v>
      </c>
      <c r="G521" s="6" t="s">
        <v>285</v>
      </c>
      <c r="H521" s="6" t="s">
        <v>286</v>
      </c>
      <c r="I521" s="6" t="s">
        <v>37</v>
      </c>
      <c r="J521" s="6" t="s">
        <v>20</v>
      </c>
      <c r="K521" s="7">
        <v>32.94</v>
      </c>
    </row>
    <row r="522" spans="1:11" s="4" customFormat="1" ht="20.399999999999999" x14ac:dyDescent="0.2">
      <c r="A522" s="6" t="str">
        <f t="shared" si="13"/>
        <v>0010710100</v>
      </c>
      <c r="B522" s="6" t="str">
        <f>"375153"</f>
        <v>375153</v>
      </c>
      <c r="C522" s="6" t="s">
        <v>290</v>
      </c>
      <c r="D522" s="6" t="s">
        <v>292</v>
      </c>
      <c r="E522" s="6" t="s">
        <v>13</v>
      </c>
      <c r="F522" s="6">
        <v>98</v>
      </c>
      <c r="G522" s="6" t="s">
        <v>285</v>
      </c>
      <c r="H522" s="6" t="s">
        <v>286</v>
      </c>
      <c r="I522" s="6" t="s">
        <v>28</v>
      </c>
      <c r="J522" s="6" t="s">
        <v>20</v>
      </c>
      <c r="K522" s="7">
        <v>32.94</v>
      </c>
    </row>
    <row r="523" spans="1:11" s="4" customFormat="1" ht="20.399999999999999" x14ac:dyDescent="0.2">
      <c r="A523" s="6" t="str">
        <f t="shared" si="13"/>
        <v>0010710100</v>
      </c>
      <c r="B523" s="6" t="str">
        <f>"511484"</f>
        <v>511484</v>
      </c>
      <c r="C523" s="6" t="s">
        <v>291</v>
      </c>
      <c r="D523" s="6" t="s">
        <v>292</v>
      </c>
      <c r="E523" s="6" t="s">
        <v>13</v>
      </c>
      <c r="F523" s="6">
        <v>98</v>
      </c>
      <c r="G523" s="6" t="s">
        <v>285</v>
      </c>
      <c r="H523" s="6" t="s">
        <v>286</v>
      </c>
      <c r="I523" s="6" t="s">
        <v>65</v>
      </c>
      <c r="J523" s="6" t="s">
        <v>20</v>
      </c>
      <c r="K523" s="7">
        <v>32.94</v>
      </c>
    </row>
    <row r="524" spans="1:11" s="4" customFormat="1" ht="20.399999999999999" x14ac:dyDescent="0.2">
      <c r="A524" s="6" t="str">
        <f t="shared" si="13"/>
        <v>0010710100</v>
      </c>
      <c r="B524" s="6" t="str">
        <f>"546722"</f>
        <v>546722</v>
      </c>
      <c r="C524" s="6" t="s">
        <v>289</v>
      </c>
      <c r="D524" s="6" t="s">
        <v>292</v>
      </c>
      <c r="E524" s="6" t="s">
        <v>13</v>
      </c>
      <c r="F524" s="6">
        <v>98</v>
      </c>
      <c r="G524" s="6" t="s">
        <v>285</v>
      </c>
      <c r="H524" s="6" t="s">
        <v>286</v>
      </c>
      <c r="I524" s="6" t="s">
        <v>19</v>
      </c>
      <c r="J524" s="6" t="s">
        <v>20</v>
      </c>
      <c r="K524" s="7">
        <v>32.94</v>
      </c>
    </row>
    <row r="525" spans="1:11" s="4" customFormat="1" ht="10.199999999999999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7"/>
    </row>
    <row r="526" spans="1:11" s="4" customFormat="1" ht="10.199999999999999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7"/>
    </row>
    <row r="527" spans="1:11" s="4" customFormat="1" ht="20.399999999999999" x14ac:dyDescent="0.2">
      <c r="A527" s="6" t="str">
        <f t="shared" ref="A527:A532" si="14">"0010720100"</f>
        <v>0010720100</v>
      </c>
      <c r="B527" s="6" t="str">
        <f>"013767"</f>
        <v>013767</v>
      </c>
      <c r="C527" s="6" t="s">
        <v>283</v>
      </c>
      <c r="D527" s="6" t="s">
        <v>293</v>
      </c>
      <c r="E527" s="6" t="s">
        <v>13</v>
      </c>
      <c r="F527" s="6">
        <v>98</v>
      </c>
      <c r="G527" s="6" t="s">
        <v>285</v>
      </c>
      <c r="H527" s="6" t="s">
        <v>286</v>
      </c>
      <c r="I527" s="6" t="s">
        <v>63</v>
      </c>
      <c r="J527" s="6" t="s">
        <v>17</v>
      </c>
      <c r="K527" s="7">
        <v>65.430000000000007</v>
      </c>
    </row>
    <row r="528" spans="1:11" s="4" customFormat="1" ht="20.399999999999999" x14ac:dyDescent="0.2">
      <c r="A528" s="6" t="str">
        <f t="shared" si="14"/>
        <v>0010720100</v>
      </c>
      <c r="B528" s="6" t="str">
        <f>"055153"</f>
        <v>055153</v>
      </c>
      <c r="C528" s="6" t="s">
        <v>287</v>
      </c>
      <c r="D528" s="6" t="s">
        <v>293</v>
      </c>
      <c r="E528" s="6" t="s">
        <v>13</v>
      </c>
      <c r="F528" s="6">
        <v>98</v>
      </c>
      <c r="G528" s="6" t="s">
        <v>285</v>
      </c>
      <c r="H528" s="6" t="s">
        <v>286</v>
      </c>
      <c r="I528" s="6" t="s">
        <v>35</v>
      </c>
      <c r="J528" s="6" t="s">
        <v>20</v>
      </c>
      <c r="K528" s="7">
        <v>40.159999999999997</v>
      </c>
    </row>
    <row r="529" spans="1:11" s="4" customFormat="1" ht="20.399999999999999" x14ac:dyDescent="0.2">
      <c r="A529" s="6" t="str">
        <f t="shared" si="14"/>
        <v>0010720100</v>
      </c>
      <c r="B529" s="6" t="str">
        <f>"139083"</f>
        <v>139083</v>
      </c>
      <c r="C529" s="6" t="s">
        <v>291</v>
      </c>
      <c r="D529" s="6" t="s">
        <v>293</v>
      </c>
      <c r="E529" s="6" t="s">
        <v>13</v>
      </c>
      <c r="F529" s="6">
        <v>98</v>
      </c>
      <c r="G529" s="6" t="s">
        <v>285</v>
      </c>
      <c r="H529" s="6" t="s">
        <v>286</v>
      </c>
      <c r="I529" s="6" t="s">
        <v>65</v>
      </c>
      <c r="J529" s="6" t="s">
        <v>20</v>
      </c>
      <c r="K529" s="7">
        <v>40.159999999999997</v>
      </c>
    </row>
    <row r="530" spans="1:11" s="4" customFormat="1" ht="20.399999999999999" x14ac:dyDescent="0.2">
      <c r="A530" s="6" t="str">
        <f t="shared" si="14"/>
        <v>0010720100</v>
      </c>
      <c r="B530" s="6" t="str">
        <f>"184353"</f>
        <v>184353</v>
      </c>
      <c r="C530" s="6" t="s">
        <v>288</v>
      </c>
      <c r="D530" s="6" t="s">
        <v>293</v>
      </c>
      <c r="E530" s="6" t="s">
        <v>13</v>
      </c>
      <c r="F530" s="6">
        <v>98</v>
      </c>
      <c r="G530" s="6" t="s">
        <v>285</v>
      </c>
      <c r="H530" s="6" t="s">
        <v>286</v>
      </c>
      <c r="I530" s="6" t="s">
        <v>37</v>
      </c>
      <c r="J530" s="6" t="s">
        <v>20</v>
      </c>
      <c r="K530" s="7">
        <v>40.159999999999997</v>
      </c>
    </row>
    <row r="531" spans="1:11" s="4" customFormat="1" ht="20.399999999999999" x14ac:dyDescent="0.2">
      <c r="A531" s="6" t="str">
        <f t="shared" si="14"/>
        <v>0010720100</v>
      </c>
      <c r="B531" s="6" t="str">
        <f>"462849"</f>
        <v>462849</v>
      </c>
      <c r="C531" s="6" t="s">
        <v>290</v>
      </c>
      <c r="D531" s="6" t="s">
        <v>293</v>
      </c>
      <c r="E531" s="6" t="s">
        <v>13</v>
      </c>
      <c r="F531" s="6">
        <v>98</v>
      </c>
      <c r="G531" s="6" t="s">
        <v>285</v>
      </c>
      <c r="H531" s="6" t="s">
        <v>286</v>
      </c>
      <c r="I531" s="6" t="s">
        <v>28</v>
      </c>
      <c r="J531" s="6" t="s">
        <v>20</v>
      </c>
      <c r="K531" s="7">
        <v>40.159999999999997</v>
      </c>
    </row>
    <row r="532" spans="1:11" s="4" customFormat="1" ht="20.399999999999999" x14ac:dyDescent="0.2">
      <c r="A532" s="6" t="str">
        <f t="shared" si="14"/>
        <v>0010720100</v>
      </c>
      <c r="B532" s="6" t="str">
        <f>"501225"</f>
        <v>501225</v>
      </c>
      <c r="C532" s="6" t="s">
        <v>289</v>
      </c>
      <c r="D532" s="6" t="s">
        <v>293</v>
      </c>
      <c r="E532" s="6" t="s">
        <v>13</v>
      </c>
      <c r="F532" s="6">
        <v>98</v>
      </c>
      <c r="G532" s="6" t="s">
        <v>285</v>
      </c>
      <c r="H532" s="6" t="s">
        <v>286</v>
      </c>
      <c r="I532" s="6" t="s">
        <v>19</v>
      </c>
      <c r="J532" s="6" t="s">
        <v>20</v>
      </c>
      <c r="K532" s="7">
        <v>40.159999999999997</v>
      </c>
    </row>
    <row r="533" spans="1:11" s="4" customFormat="1" ht="10.199999999999999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7"/>
    </row>
    <row r="534" spans="1:11" s="4" customFormat="1" ht="10.199999999999999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7"/>
    </row>
    <row r="535" spans="1:11" s="4" customFormat="1" ht="20.399999999999999" x14ac:dyDescent="0.2">
      <c r="A535" s="6" t="str">
        <f t="shared" ref="A535:A541" si="15">"0011740100"</f>
        <v>0011740100</v>
      </c>
      <c r="B535" s="6" t="str">
        <f>"057042"</f>
        <v>057042</v>
      </c>
      <c r="C535" s="6" t="s">
        <v>294</v>
      </c>
      <c r="D535" s="6" t="s">
        <v>295</v>
      </c>
      <c r="E535" s="6" t="s">
        <v>82</v>
      </c>
      <c r="F535" s="6">
        <v>98</v>
      </c>
      <c r="G535" s="6" t="s">
        <v>296</v>
      </c>
      <c r="H535" s="6" t="s">
        <v>297</v>
      </c>
      <c r="I535" s="6" t="s">
        <v>49</v>
      </c>
      <c r="J535" s="6" t="s">
        <v>17</v>
      </c>
      <c r="K535" s="7">
        <v>59.58</v>
      </c>
    </row>
    <row r="536" spans="1:11" s="4" customFormat="1" ht="20.399999999999999" x14ac:dyDescent="0.2">
      <c r="A536" s="6" t="str">
        <f t="shared" si="15"/>
        <v>0011740100</v>
      </c>
      <c r="B536" s="6" t="str">
        <f>"180527"</f>
        <v>180527</v>
      </c>
      <c r="C536" s="6" t="s">
        <v>298</v>
      </c>
      <c r="D536" s="6" t="s">
        <v>295</v>
      </c>
      <c r="E536" s="6" t="s">
        <v>82</v>
      </c>
      <c r="F536" s="6">
        <v>100</v>
      </c>
      <c r="G536" s="6" t="s">
        <v>296</v>
      </c>
      <c r="H536" s="6" t="s">
        <v>297</v>
      </c>
      <c r="I536" s="6" t="s">
        <v>35</v>
      </c>
      <c r="J536" s="6" t="s">
        <v>20</v>
      </c>
      <c r="K536" s="7">
        <v>36.479999999999997</v>
      </c>
    </row>
    <row r="537" spans="1:11" s="4" customFormat="1" ht="20.399999999999999" x14ac:dyDescent="0.2">
      <c r="A537" s="6" t="str">
        <f t="shared" si="15"/>
        <v>0011740100</v>
      </c>
      <c r="B537" s="6" t="str">
        <f>"431000"</f>
        <v>431000</v>
      </c>
      <c r="C537" s="6" t="s">
        <v>299</v>
      </c>
      <c r="D537" s="6" t="s">
        <v>295</v>
      </c>
      <c r="E537" s="6" t="s">
        <v>82</v>
      </c>
      <c r="F537" s="6">
        <v>100</v>
      </c>
      <c r="G537" s="6" t="s">
        <v>296</v>
      </c>
      <c r="H537" s="6" t="s">
        <v>297</v>
      </c>
      <c r="I537" s="6" t="s">
        <v>37</v>
      </c>
      <c r="J537" s="6" t="s">
        <v>20</v>
      </c>
      <c r="K537" s="7">
        <v>36.479999999999997</v>
      </c>
    </row>
    <row r="538" spans="1:11" s="4" customFormat="1" ht="20.399999999999999" x14ac:dyDescent="0.2">
      <c r="A538" s="6" t="str">
        <f t="shared" si="15"/>
        <v>0011740100</v>
      </c>
      <c r="B538" s="6" t="str">
        <f>"075956"</f>
        <v>075956</v>
      </c>
      <c r="C538" s="6" t="s">
        <v>300</v>
      </c>
      <c r="D538" s="6" t="s">
        <v>295</v>
      </c>
      <c r="E538" s="6" t="s">
        <v>82</v>
      </c>
      <c r="F538" s="6">
        <v>98</v>
      </c>
      <c r="G538" s="6" t="s">
        <v>296</v>
      </c>
      <c r="H538" s="6" t="s">
        <v>297</v>
      </c>
      <c r="I538" s="6" t="s">
        <v>65</v>
      </c>
      <c r="J538" s="6" t="s">
        <v>20</v>
      </c>
      <c r="K538" s="7">
        <v>35.75</v>
      </c>
    </row>
    <row r="539" spans="1:11" s="4" customFormat="1" ht="20.399999999999999" x14ac:dyDescent="0.2">
      <c r="A539" s="6" t="str">
        <f t="shared" si="15"/>
        <v>0011740100</v>
      </c>
      <c r="B539" s="6" t="str">
        <f>"191568"</f>
        <v>191568</v>
      </c>
      <c r="C539" s="6" t="s">
        <v>301</v>
      </c>
      <c r="D539" s="6" t="s">
        <v>295</v>
      </c>
      <c r="E539" s="6" t="s">
        <v>82</v>
      </c>
      <c r="F539" s="6">
        <v>98</v>
      </c>
      <c r="G539" s="6" t="s">
        <v>296</v>
      </c>
      <c r="H539" s="6" t="s">
        <v>297</v>
      </c>
      <c r="I539" s="6" t="s">
        <v>211</v>
      </c>
      <c r="J539" s="6" t="s">
        <v>20</v>
      </c>
      <c r="K539" s="7">
        <v>35.75</v>
      </c>
    </row>
    <row r="540" spans="1:11" s="4" customFormat="1" ht="20.399999999999999" x14ac:dyDescent="0.2">
      <c r="A540" s="6" t="str">
        <f t="shared" si="15"/>
        <v>0011740100</v>
      </c>
      <c r="B540" s="6" t="str">
        <f>"598886"</f>
        <v>598886</v>
      </c>
      <c r="C540" s="6" t="s">
        <v>302</v>
      </c>
      <c r="D540" s="6" t="s">
        <v>295</v>
      </c>
      <c r="E540" s="6" t="s">
        <v>82</v>
      </c>
      <c r="F540" s="6">
        <v>98</v>
      </c>
      <c r="G540" s="6" t="s">
        <v>296</v>
      </c>
      <c r="H540" s="6" t="s">
        <v>297</v>
      </c>
      <c r="I540" s="6" t="s">
        <v>19</v>
      </c>
      <c r="J540" s="6" t="s">
        <v>20</v>
      </c>
      <c r="K540" s="7">
        <v>35.75</v>
      </c>
    </row>
    <row r="541" spans="1:11" s="4" customFormat="1" ht="20.399999999999999" x14ac:dyDescent="0.2">
      <c r="A541" s="6" t="str">
        <f t="shared" si="15"/>
        <v>0011740100</v>
      </c>
      <c r="B541" s="6" t="str">
        <f>"177042"</f>
        <v>177042</v>
      </c>
      <c r="C541" s="6" t="s">
        <v>303</v>
      </c>
      <c r="D541" s="6" t="s">
        <v>295</v>
      </c>
      <c r="E541" s="6" t="s">
        <v>82</v>
      </c>
      <c r="F541" s="6">
        <v>98</v>
      </c>
      <c r="G541" s="6" t="s">
        <v>296</v>
      </c>
      <c r="H541" s="6" t="s">
        <v>297</v>
      </c>
      <c r="I541" s="6" t="s">
        <v>103</v>
      </c>
      <c r="J541" s="6" t="s">
        <v>20</v>
      </c>
      <c r="K541" s="7">
        <v>33.75</v>
      </c>
    </row>
    <row r="542" spans="1:11" s="4" customFormat="1" ht="10.199999999999999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7"/>
    </row>
    <row r="543" spans="1:11" s="4" customFormat="1" ht="10.199999999999999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7"/>
    </row>
    <row r="544" spans="1:11" s="4" customFormat="1" ht="20.399999999999999" x14ac:dyDescent="0.2">
      <c r="A544" s="6" t="str">
        <f>"0008510030"</f>
        <v>0008510030</v>
      </c>
      <c r="B544" s="6" t="str">
        <f>"010339"</f>
        <v>010339</v>
      </c>
      <c r="C544" s="6" t="s">
        <v>304</v>
      </c>
      <c r="D544" s="6" t="s">
        <v>292</v>
      </c>
      <c r="E544" s="6" t="s">
        <v>82</v>
      </c>
      <c r="F544" s="6">
        <v>28</v>
      </c>
      <c r="G544" s="6" t="s">
        <v>305</v>
      </c>
      <c r="H544" s="6" t="s">
        <v>306</v>
      </c>
      <c r="I544" s="6" t="s">
        <v>121</v>
      </c>
      <c r="J544" s="6" t="s">
        <v>17</v>
      </c>
      <c r="K544" s="7">
        <v>12.6</v>
      </c>
    </row>
    <row r="545" spans="1:11" s="4" customFormat="1" ht="20.399999999999999" x14ac:dyDescent="0.2">
      <c r="A545" s="6" t="str">
        <f>"0008510030"</f>
        <v>0008510030</v>
      </c>
      <c r="B545" s="6" t="str">
        <f>"013504"</f>
        <v>013504</v>
      </c>
      <c r="C545" s="6" t="s">
        <v>307</v>
      </c>
      <c r="D545" s="6" t="s">
        <v>292</v>
      </c>
      <c r="E545" s="6" t="s">
        <v>82</v>
      </c>
      <c r="F545" s="6">
        <v>28</v>
      </c>
      <c r="G545" s="6" t="s">
        <v>305</v>
      </c>
      <c r="H545" s="6" t="s">
        <v>306</v>
      </c>
      <c r="I545" s="6" t="s">
        <v>189</v>
      </c>
      <c r="J545" s="6" t="s">
        <v>17</v>
      </c>
      <c r="K545" s="7">
        <v>12.6</v>
      </c>
    </row>
    <row r="546" spans="1:11" s="4" customFormat="1" ht="20.399999999999999" x14ac:dyDescent="0.2">
      <c r="A546" s="6" t="str">
        <f>"0008510030"</f>
        <v>0008510030</v>
      </c>
      <c r="B546" s="6" t="str">
        <f>"428658"</f>
        <v>428658</v>
      </c>
      <c r="C546" s="6" t="s">
        <v>308</v>
      </c>
      <c r="D546" s="6" t="s">
        <v>292</v>
      </c>
      <c r="E546" s="6" t="s">
        <v>82</v>
      </c>
      <c r="F546" s="6">
        <v>30</v>
      </c>
      <c r="G546" s="6" t="s">
        <v>305</v>
      </c>
      <c r="H546" s="6" t="s">
        <v>306</v>
      </c>
      <c r="I546" s="6" t="s">
        <v>103</v>
      </c>
      <c r="J546" s="6" t="s">
        <v>20</v>
      </c>
      <c r="K546" s="7">
        <v>8.1</v>
      </c>
    </row>
    <row r="547" spans="1:11" s="4" customFormat="1" ht="20.399999999999999" x14ac:dyDescent="0.2">
      <c r="A547" s="6" t="str">
        <f>"0008510030"</f>
        <v>0008510030</v>
      </c>
      <c r="B547" s="6" t="str">
        <f>"395441"</f>
        <v>395441</v>
      </c>
      <c r="C547" s="6" t="s">
        <v>309</v>
      </c>
      <c r="D547" s="6" t="s">
        <v>292</v>
      </c>
      <c r="E547" s="6" t="s">
        <v>82</v>
      </c>
      <c r="F547" s="6">
        <v>28</v>
      </c>
      <c r="G547" s="6" t="s">
        <v>305</v>
      </c>
      <c r="H547" s="6" t="s">
        <v>306</v>
      </c>
      <c r="I547" s="6" t="s">
        <v>19</v>
      </c>
      <c r="J547" s="6" t="s">
        <v>20</v>
      </c>
      <c r="K547" s="7">
        <v>7.56</v>
      </c>
    </row>
    <row r="548" spans="1:11" s="4" customFormat="1" ht="10.199999999999999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7"/>
    </row>
    <row r="549" spans="1:11" s="4" customFormat="1" ht="10.199999999999999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7"/>
    </row>
    <row r="550" spans="1:11" s="4" customFormat="1" ht="20.399999999999999" x14ac:dyDescent="0.2">
      <c r="A550" s="6" t="str">
        <f t="shared" ref="A550:A555" si="16">"0008510100"</f>
        <v>0008510100</v>
      </c>
      <c r="B550" s="6" t="str">
        <f>"010361"</f>
        <v>010361</v>
      </c>
      <c r="C550" s="6" t="s">
        <v>304</v>
      </c>
      <c r="D550" s="6" t="s">
        <v>292</v>
      </c>
      <c r="E550" s="6" t="s">
        <v>82</v>
      </c>
      <c r="F550" s="6">
        <v>98</v>
      </c>
      <c r="G550" s="6" t="s">
        <v>305</v>
      </c>
      <c r="H550" s="6" t="s">
        <v>306</v>
      </c>
      <c r="I550" s="6" t="s">
        <v>121</v>
      </c>
      <c r="J550" s="6" t="s">
        <v>17</v>
      </c>
      <c r="K550" s="7">
        <v>39.729999999999997</v>
      </c>
    </row>
    <row r="551" spans="1:11" s="4" customFormat="1" ht="20.399999999999999" x14ac:dyDescent="0.2">
      <c r="A551" s="6" t="str">
        <f t="shared" si="16"/>
        <v>0008510100</v>
      </c>
      <c r="B551" s="6" t="str">
        <f>"013534"</f>
        <v>013534</v>
      </c>
      <c r="C551" s="6" t="s">
        <v>307</v>
      </c>
      <c r="D551" s="6" t="s">
        <v>292</v>
      </c>
      <c r="E551" s="6" t="s">
        <v>82</v>
      </c>
      <c r="F551" s="6">
        <v>98</v>
      </c>
      <c r="G551" s="6" t="s">
        <v>305</v>
      </c>
      <c r="H551" s="6" t="s">
        <v>306</v>
      </c>
      <c r="I551" s="6" t="s">
        <v>189</v>
      </c>
      <c r="J551" s="6" t="s">
        <v>17</v>
      </c>
      <c r="K551" s="7">
        <v>39.729999999999997</v>
      </c>
    </row>
    <row r="552" spans="1:11" s="4" customFormat="1" ht="20.399999999999999" x14ac:dyDescent="0.2">
      <c r="A552" s="6" t="str">
        <f t="shared" si="16"/>
        <v>0008510100</v>
      </c>
      <c r="B552" s="6" t="str">
        <f>"381868"</f>
        <v>381868</v>
      </c>
      <c r="C552" s="6" t="s">
        <v>308</v>
      </c>
      <c r="D552" s="6" t="s">
        <v>292</v>
      </c>
      <c r="E552" s="6" t="s">
        <v>82</v>
      </c>
      <c r="F552" s="6">
        <v>100</v>
      </c>
      <c r="G552" s="6" t="s">
        <v>305</v>
      </c>
      <c r="H552" s="6" t="s">
        <v>306</v>
      </c>
      <c r="I552" s="6" t="s">
        <v>103</v>
      </c>
      <c r="J552" s="6" t="s">
        <v>20</v>
      </c>
      <c r="K552" s="7">
        <v>24.33</v>
      </c>
    </row>
    <row r="553" spans="1:11" s="4" customFormat="1" ht="20.399999999999999" x14ac:dyDescent="0.2">
      <c r="A553" s="6" t="str">
        <f t="shared" si="16"/>
        <v>0008510100</v>
      </c>
      <c r="B553" s="6" t="str">
        <f>"183270"</f>
        <v>183270</v>
      </c>
      <c r="C553" s="6" t="s">
        <v>309</v>
      </c>
      <c r="D553" s="6" t="s">
        <v>292</v>
      </c>
      <c r="E553" s="6" t="s">
        <v>82</v>
      </c>
      <c r="F553" s="6">
        <v>98</v>
      </c>
      <c r="G553" s="6" t="s">
        <v>305</v>
      </c>
      <c r="H553" s="6" t="s">
        <v>306</v>
      </c>
      <c r="I553" s="6" t="s">
        <v>19</v>
      </c>
      <c r="J553" s="6" t="s">
        <v>20</v>
      </c>
      <c r="K553" s="7">
        <v>23.84</v>
      </c>
    </row>
    <row r="554" spans="1:11" s="4" customFormat="1" ht="20.399999999999999" x14ac:dyDescent="0.2">
      <c r="A554" s="6" t="str">
        <f t="shared" si="16"/>
        <v>0008510100</v>
      </c>
      <c r="B554" s="6" t="str">
        <f>"405339"</f>
        <v>405339</v>
      </c>
      <c r="C554" s="6" t="s">
        <v>308</v>
      </c>
      <c r="D554" s="6" t="s">
        <v>292</v>
      </c>
      <c r="E554" s="6" t="s">
        <v>82</v>
      </c>
      <c r="F554" s="6">
        <v>98</v>
      </c>
      <c r="G554" s="6" t="s">
        <v>305</v>
      </c>
      <c r="H554" s="6" t="s">
        <v>306</v>
      </c>
      <c r="I554" s="6" t="s">
        <v>103</v>
      </c>
      <c r="J554" s="6" t="s">
        <v>20</v>
      </c>
      <c r="K554" s="7">
        <v>23.84</v>
      </c>
    </row>
    <row r="555" spans="1:11" s="4" customFormat="1" ht="20.399999999999999" x14ac:dyDescent="0.2">
      <c r="A555" s="6" t="str">
        <f t="shared" si="16"/>
        <v>0008510100</v>
      </c>
      <c r="B555" s="6" t="str">
        <f>"582739"</f>
        <v>582739</v>
      </c>
      <c r="C555" s="6" t="s">
        <v>310</v>
      </c>
      <c r="D555" s="6" t="s">
        <v>292</v>
      </c>
      <c r="E555" s="6" t="s">
        <v>82</v>
      </c>
      <c r="F555" s="6">
        <v>98</v>
      </c>
      <c r="G555" s="6" t="s">
        <v>305</v>
      </c>
      <c r="H555" s="6" t="s">
        <v>306</v>
      </c>
      <c r="I555" s="6" t="s">
        <v>65</v>
      </c>
      <c r="J555" s="6" t="s">
        <v>20</v>
      </c>
      <c r="K555" s="7">
        <v>23.84</v>
      </c>
    </row>
    <row r="556" spans="1:11" s="4" customFormat="1" ht="10.199999999999999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7"/>
    </row>
    <row r="557" spans="1:11" s="4" customFormat="1" ht="10.199999999999999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7"/>
    </row>
    <row r="558" spans="1:11" s="4" customFormat="1" ht="20.399999999999999" x14ac:dyDescent="0.2">
      <c r="A558" s="6" t="str">
        <f>"0008980030"</f>
        <v>0008980030</v>
      </c>
      <c r="B558" s="6" t="str">
        <f>"005872"</f>
        <v>005872</v>
      </c>
      <c r="C558" s="6" t="s">
        <v>304</v>
      </c>
      <c r="D558" s="6" t="s">
        <v>311</v>
      </c>
      <c r="E558" s="6" t="s">
        <v>82</v>
      </c>
      <c r="F558" s="6">
        <v>28</v>
      </c>
      <c r="G558" s="6" t="s">
        <v>305</v>
      </c>
      <c r="H558" s="6" t="s">
        <v>306</v>
      </c>
      <c r="I558" s="6" t="s">
        <v>121</v>
      </c>
      <c r="J558" s="6" t="s">
        <v>17</v>
      </c>
      <c r="K558" s="7">
        <v>10.49</v>
      </c>
    </row>
    <row r="559" spans="1:11" s="4" customFormat="1" ht="20.399999999999999" x14ac:dyDescent="0.2">
      <c r="A559" s="6" t="str">
        <f>"0008980030"</f>
        <v>0008980030</v>
      </c>
      <c r="B559" s="6" t="str">
        <f>"013449"</f>
        <v>013449</v>
      </c>
      <c r="C559" s="6" t="s">
        <v>307</v>
      </c>
      <c r="D559" s="6" t="s">
        <v>311</v>
      </c>
      <c r="E559" s="6" t="s">
        <v>82</v>
      </c>
      <c r="F559" s="6">
        <v>28</v>
      </c>
      <c r="G559" s="6" t="s">
        <v>305</v>
      </c>
      <c r="H559" s="6" t="s">
        <v>306</v>
      </c>
      <c r="I559" s="6" t="s">
        <v>189</v>
      </c>
      <c r="J559" s="6" t="s">
        <v>17</v>
      </c>
      <c r="K559" s="7">
        <v>10.49</v>
      </c>
    </row>
    <row r="560" spans="1:11" s="4" customFormat="1" ht="20.399999999999999" x14ac:dyDescent="0.2">
      <c r="A560" s="6" t="str">
        <f>"0008980030"</f>
        <v>0008980030</v>
      </c>
      <c r="B560" s="6" t="str">
        <f>"476392"</f>
        <v>476392</v>
      </c>
      <c r="C560" s="6" t="s">
        <v>308</v>
      </c>
      <c r="D560" s="6" t="s">
        <v>311</v>
      </c>
      <c r="E560" s="6" t="s">
        <v>82</v>
      </c>
      <c r="F560" s="6">
        <v>30</v>
      </c>
      <c r="G560" s="6" t="s">
        <v>305</v>
      </c>
      <c r="H560" s="6" t="s">
        <v>306</v>
      </c>
      <c r="I560" s="6" t="s">
        <v>103</v>
      </c>
      <c r="J560" s="6" t="s">
        <v>20</v>
      </c>
      <c r="K560" s="7">
        <v>6.74</v>
      </c>
    </row>
    <row r="561" spans="1:11" s="4" customFormat="1" ht="20.399999999999999" x14ac:dyDescent="0.2">
      <c r="A561" s="6" t="str">
        <f>"0008980030"</f>
        <v>0008980030</v>
      </c>
      <c r="B561" s="6" t="str">
        <f>"181652"</f>
        <v>181652</v>
      </c>
      <c r="C561" s="6" t="s">
        <v>309</v>
      </c>
      <c r="D561" s="6" t="s">
        <v>311</v>
      </c>
      <c r="E561" s="6" t="s">
        <v>82</v>
      </c>
      <c r="F561" s="6">
        <v>28</v>
      </c>
      <c r="G561" s="6" t="s">
        <v>305</v>
      </c>
      <c r="H561" s="6" t="s">
        <v>306</v>
      </c>
      <c r="I561" s="6" t="s">
        <v>19</v>
      </c>
      <c r="J561" s="6" t="s">
        <v>20</v>
      </c>
      <c r="K561" s="7">
        <v>6.29</v>
      </c>
    </row>
    <row r="562" spans="1:11" s="4" customFormat="1" ht="10.199999999999999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7"/>
    </row>
    <row r="563" spans="1:11" s="4" customFormat="1" ht="10.199999999999999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7"/>
    </row>
    <row r="564" spans="1:11" s="4" customFormat="1" ht="20.399999999999999" x14ac:dyDescent="0.2">
      <c r="A564" s="6" t="str">
        <f>"0008980100"</f>
        <v>0008980100</v>
      </c>
      <c r="B564" s="6" t="str">
        <f>"005894"</f>
        <v>005894</v>
      </c>
      <c r="C564" s="6" t="s">
        <v>304</v>
      </c>
      <c r="D564" s="6" t="s">
        <v>311</v>
      </c>
      <c r="E564" s="6" t="s">
        <v>82</v>
      </c>
      <c r="F564" s="6">
        <v>98</v>
      </c>
      <c r="G564" s="6" t="s">
        <v>305</v>
      </c>
      <c r="H564" s="6" t="s">
        <v>306</v>
      </c>
      <c r="I564" s="6" t="s">
        <v>121</v>
      </c>
      <c r="J564" s="6" t="s">
        <v>17</v>
      </c>
      <c r="K564" s="7">
        <v>33.08</v>
      </c>
    </row>
    <row r="565" spans="1:11" s="4" customFormat="1" ht="20.399999999999999" x14ac:dyDescent="0.2">
      <c r="A565" s="6" t="str">
        <f>"0008980100"</f>
        <v>0008980100</v>
      </c>
      <c r="B565" s="6" t="str">
        <f>"013479"</f>
        <v>013479</v>
      </c>
      <c r="C565" s="6" t="s">
        <v>307</v>
      </c>
      <c r="D565" s="6" t="s">
        <v>311</v>
      </c>
      <c r="E565" s="6" t="s">
        <v>82</v>
      </c>
      <c r="F565" s="6">
        <v>98</v>
      </c>
      <c r="G565" s="6" t="s">
        <v>305</v>
      </c>
      <c r="H565" s="6" t="s">
        <v>306</v>
      </c>
      <c r="I565" s="6" t="s">
        <v>189</v>
      </c>
      <c r="J565" s="6" t="s">
        <v>17</v>
      </c>
      <c r="K565" s="7">
        <v>33.08</v>
      </c>
    </row>
    <row r="566" spans="1:11" s="4" customFormat="1" ht="20.399999999999999" x14ac:dyDescent="0.2">
      <c r="A566" s="6" t="str">
        <f>"0008980100"</f>
        <v>0008980100</v>
      </c>
      <c r="B566" s="6" t="str">
        <f>"515151"</f>
        <v>515151</v>
      </c>
      <c r="C566" s="6" t="s">
        <v>308</v>
      </c>
      <c r="D566" s="6" t="s">
        <v>311</v>
      </c>
      <c r="E566" s="6" t="s">
        <v>82</v>
      </c>
      <c r="F566" s="6">
        <v>100</v>
      </c>
      <c r="G566" s="6" t="s">
        <v>305</v>
      </c>
      <c r="H566" s="6" t="s">
        <v>306</v>
      </c>
      <c r="I566" s="6" t="s">
        <v>103</v>
      </c>
      <c r="J566" s="6" t="s">
        <v>20</v>
      </c>
      <c r="K566" s="7">
        <v>20.239999999999998</v>
      </c>
    </row>
    <row r="567" spans="1:11" s="4" customFormat="1" ht="20.399999999999999" x14ac:dyDescent="0.2">
      <c r="A567" s="6" t="str">
        <f>"0008980100"</f>
        <v>0008980100</v>
      </c>
      <c r="B567" s="6" t="str">
        <f>"096038"</f>
        <v>096038</v>
      </c>
      <c r="C567" s="6" t="s">
        <v>309</v>
      </c>
      <c r="D567" s="6" t="s">
        <v>311</v>
      </c>
      <c r="E567" s="6" t="s">
        <v>82</v>
      </c>
      <c r="F567" s="6">
        <v>98</v>
      </c>
      <c r="G567" s="6" t="s">
        <v>305</v>
      </c>
      <c r="H567" s="6" t="s">
        <v>306</v>
      </c>
      <c r="I567" s="6" t="s">
        <v>19</v>
      </c>
      <c r="J567" s="6" t="s">
        <v>20</v>
      </c>
      <c r="K567" s="7">
        <v>19.850000000000001</v>
      </c>
    </row>
    <row r="568" spans="1:11" s="4" customFormat="1" ht="10.199999999999999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7"/>
    </row>
    <row r="569" spans="1:11" s="4" customFormat="1" ht="10.199999999999999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7"/>
    </row>
    <row r="570" spans="1:11" s="4" customFormat="1" ht="20.399999999999999" x14ac:dyDescent="0.2">
      <c r="A570" s="6" t="str">
        <f>"0010770030"</f>
        <v>0010770030</v>
      </c>
      <c r="B570" s="6" t="str">
        <f>"125464"</f>
        <v>125464</v>
      </c>
      <c r="C570" s="6" t="s">
        <v>304</v>
      </c>
      <c r="D570" s="6" t="s">
        <v>312</v>
      </c>
      <c r="E570" s="6" t="s">
        <v>82</v>
      </c>
      <c r="F570" s="6">
        <v>28</v>
      </c>
      <c r="G570" s="6" t="s">
        <v>305</v>
      </c>
      <c r="H570" s="6" t="s">
        <v>306</v>
      </c>
      <c r="I570" s="6" t="s">
        <v>121</v>
      </c>
      <c r="J570" s="6" t="s">
        <v>17</v>
      </c>
      <c r="K570" s="7">
        <v>13.2</v>
      </c>
    </row>
    <row r="571" spans="1:11" s="4" customFormat="1" ht="20.399999999999999" x14ac:dyDescent="0.2">
      <c r="A571" s="6" t="str">
        <f>"0010770030"</f>
        <v>0010770030</v>
      </c>
      <c r="B571" s="6" t="str">
        <f>"391984"</f>
        <v>391984</v>
      </c>
      <c r="C571" s="6" t="s">
        <v>308</v>
      </c>
      <c r="D571" s="6" t="s">
        <v>312</v>
      </c>
      <c r="E571" s="6" t="s">
        <v>82</v>
      </c>
      <c r="F571" s="6">
        <v>30</v>
      </c>
      <c r="G571" s="6" t="s">
        <v>305</v>
      </c>
      <c r="H571" s="6" t="s">
        <v>306</v>
      </c>
      <c r="I571" s="6" t="s">
        <v>103</v>
      </c>
      <c r="J571" s="6" t="s">
        <v>20</v>
      </c>
      <c r="K571" s="7">
        <v>8.49</v>
      </c>
    </row>
    <row r="572" spans="1:11" s="4" customFormat="1" ht="20.399999999999999" x14ac:dyDescent="0.2">
      <c r="A572" s="6" t="str">
        <f>"0010770030"</f>
        <v>0010770030</v>
      </c>
      <c r="B572" s="6" t="str">
        <f>"446347"</f>
        <v>446347</v>
      </c>
      <c r="C572" s="6" t="s">
        <v>309</v>
      </c>
      <c r="D572" s="6" t="s">
        <v>312</v>
      </c>
      <c r="E572" s="6" t="s">
        <v>82</v>
      </c>
      <c r="F572" s="6">
        <v>28</v>
      </c>
      <c r="G572" s="6" t="s">
        <v>305</v>
      </c>
      <c r="H572" s="6" t="s">
        <v>306</v>
      </c>
      <c r="I572" s="6" t="s">
        <v>19</v>
      </c>
      <c r="J572" s="6" t="s">
        <v>20</v>
      </c>
      <c r="K572" s="7">
        <v>7.92</v>
      </c>
    </row>
    <row r="573" spans="1:11" s="4" customFormat="1" ht="10.199999999999999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7"/>
    </row>
    <row r="574" spans="1:11" s="4" customFormat="1" ht="10.199999999999999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7"/>
    </row>
    <row r="575" spans="1:11" s="4" customFormat="1" ht="20.399999999999999" x14ac:dyDescent="0.2">
      <c r="A575" s="6" t="str">
        <f>"0010770100"</f>
        <v>0010770100</v>
      </c>
      <c r="B575" s="6" t="str">
        <f>"125475"</f>
        <v>125475</v>
      </c>
      <c r="C575" s="6" t="s">
        <v>304</v>
      </c>
      <c r="D575" s="6" t="s">
        <v>312</v>
      </c>
      <c r="E575" s="6" t="s">
        <v>82</v>
      </c>
      <c r="F575" s="6">
        <v>98</v>
      </c>
      <c r="G575" s="6" t="s">
        <v>305</v>
      </c>
      <c r="H575" s="6" t="s">
        <v>306</v>
      </c>
      <c r="I575" s="6" t="s">
        <v>121</v>
      </c>
      <c r="J575" s="6" t="s">
        <v>17</v>
      </c>
      <c r="K575" s="7">
        <v>41.61</v>
      </c>
    </row>
    <row r="576" spans="1:11" s="4" customFormat="1" ht="20.399999999999999" x14ac:dyDescent="0.2">
      <c r="A576" s="6" t="str">
        <f>"0010770100"</f>
        <v>0010770100</v>
      </c>
      <c r="B576" s="6" t="str">
        <f>"136450"</f>
        <v>136450</v>
      </c>
      <c r="C576" s="6" t="s">
        <v>307</v>
      </c>
      <c r="D576" s="6" t="s">
        <v>312</v>
      </c>
      <c r="E576" s="6" t="s">
        <v>82</v>
      </c>
      <c r="F576" s="6">
        <v>98</v>
      </c>
      <c r="G576" s="6" t="s">
        <v>305</v>
      </c>
      <c r="H576" s="6" t="s">
        <v>306</v>
      </c>
      <c r="I576" s="6" t="s">
        <v>189</v>
      </c>
      <c r="J576" s="6" t="s">
        <v>17</v>
      </c>
      <c r="K576" s="7">
        <v>41.61</v>
      </c>
    </row>
    <row r="577" spans="1:11" s="4" customFormat="1" ht="20.399999999999999" x14ac:dyDescent="0.2">
      <c r="A577" s="6" t="str">
        <f>"0010770100"</f>
        <v>0010770100</v>
      </c>
      <c r="B577" s="6" t="str">
        <f>"461592"</f>
        <v>461592</v>
      </c>
      <c r="C577" s="6" t="s">
        <v>309</v>
      </c>
      <c r="D577" s="6" t="s">
        <v>312</v>
      </c>
      <c r="E577" s="6" t="s">
        <v>82</v>
      </c>
      <c r="F577" s="6">
        <v>98</v>
      </c>
      <c r="G577" s="6" t="s">
        <v>305</v>
      </c>
      <c r="H577" s="6" t="s">
        <v>306</v>
      </c>
      <c r="I577" s="6" t="s">
        <v>19</v>
      </c>
      <c r="J577" s="6" t="s">
        <v>20</v>
      </c>
      <c r="K577" s="7">
        <v>24.97</v>
      </c>
    </row>
    <row r="578" spans="1:11" s="4" customFormat="1" ht="20.399999999999999" x14ac:dyDescent="0.2">
      <c r="A578" s="6" t="str">
        <f>"0010770100"</f>
        <v>0010770100</v>
      </c>
      <c r="B578" s="6" t="str">
        <f>"484388"</f>
        <v>484388</v>
      </c>
      <c r="C578" s="6" t="s">
        <v>308</v>
      </c>
      <c r="D578" s="6" t="s">
        <v>312</v>
      </c>
      <c r="E578" s="6" t="s">
        <v>82</v>
      </c>
      <c r="F578" s="6">
        <v>100</v>
      </c>
      <c r="G578" s="6" t="s">
        <v>305</v>
      </c>
      <c r="H578" s="6" t="s">
        <v>306</v>
      </c>
      <c r="I578" s="6" t="s">
        <v>103</v>
      </c>
      <c r="J578" s="6" t="s">
        <v>20</v>
      </c>
      <c r="K578" s="7">
        <v>22.5</v>
      </c>
    </row>
    <row r="579" spans="1:11" s="4" customFormat="1" ht="10.199999999999999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7"/>
    </row>
    <row r="580" spans="1:11" s="4" customFormat="1" ht="10.199999999999999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7"/>
    </row>
    <row r="581" spans="1:11" s="4" customFormat="1" ht="10.199999999999999" x14ac:dyDescent="0.2">
      <c r="A581" s="6" t="str">
        <f>"0001430100"</f>
        <v>0001430100</v>
      </c>
      <c r="B581" s="6" t="str">
        <f>"563700"</f>
        <v>563700</v>
      </c>
      <c r="C581" s="6" t="s">
        <v>313</v>
      </c>
      <c r="D581" s="6" t="s">
        <v>33</v>
      </c>
      <c r="E581" s="6" t="s">
        <v>314</v>
      </c>
      <c r="F581" s="6">
        <v>98</v>
      </c>
      <c r="G581" s="6" t="s">
        <v>315</v>
      </c>
      <c r="H581" s="6" t="s">
        <v>316</v>
      </c>
      <c r="I581" s="6" t="s">
        <v>63</v>
      </c>
      <c r="J581" s="6" t="s">
        <v>17</v>
      </c>
      <c r="K581" s="7">
        <v>33.200000000000003</v>
      </c>
    </row>
    <row r="582" spans="1:11" s="4" customFormat="1" ht="10.199999999999999" x14ac:dyDescent="0.2">
      <c r="A582" s="6" t="str">
        <f>"0001430100"</f>
        <v>0001430100</v>
      </c>
      <c r="B582" s="6" t="str">
        <f>"043092"</f>
        <v>043092</v>
      </c>
      <c r="C582" s="6" t="s">
        <v>317</v>
      </c>
      <c r="D582" s="6" t="s">
        <v>33</v>
      </c>
      <c r="E582" s="6" t="s">
        <v>314</v>
      </c>
      <c r="F582" s="6">
        <v>100</v>
      </c>
      <c r="G582" s="6" t="s">
        <v>315</v>
      </c>
      <c r="H582" s="6" t="s">
        <v>316</v>
      </c>
      <c r="I582" s="6" t="s">
        <v>35</v>
      </c>
      <c r="J582" s="6" t="s">
        <v>20</v>
      </c>
      <c r="K582" s="7">
        <v>16.73</v>
      </c>
    </row>
    <row r="583" spans="1:11" s="4" customFormat="1" ht="10.199999999999999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7"/>
    </row>
    <row r="584" spans="1:11" s="4" customFormat="1" ht="10.199999999999999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7"/>
    </row>
    <row r="585" spans="1:11" s="4" customFormat="1" ht="10.199999999999999" x14ac:dyDescent="0.2">
      <c r="A585" s="6" t="str">
        <f>"0006960100"</f>
        <v>0006960100</v>
      </c>
      <c r="B585" s="6" t="str">
        <f>"011997"</f>
        <v>011997</v>
      </c>
      <c r="C585" s="6" t="s">
        <v>318</v>
      </c>
      <c r="D585" s="6" t="s">
        <v>239</v>
      </c>
      <c r="E585" s="6" t="s">
        <v>135</v>
      </c>
      <c r="F585" s="6">
        <v>98</v>
      </c>
      <c r="G585" s="6" t="s">
        <v>315</v>
      </c>
      <c r="H585" s="6" t="s">
        <v>316</v>
      </c>
      <c r="I585" s="6" t="s">
        <v>63</v>
      </c>
      <c r="J585" s="6" t="s">
        <v>17</v>
      </c>
      <c r="K585" s="7">
        <v>38.369999999999997</v>
      </c>
    </row>
    <row r="586" spans="1:11" s="4" customFormat="1" ht="10.199999999999999" x14ac:dyDescent="0.2">
      <c r="A586" s="6" t="str">
        <f>"0006960100"</f>
        <v>0006960100</v>
      </c>
      <c r="B586" s="6" t="str">
        <f>"163128"</f>
        <v>163128</v>
      </c>
      <c r="C586" s="6" t="s">
        <v>317</v>
      </c>
      <c r="D586" s="6" t="s">
        <v>239</v>
      </c>
      <c r="E586" s="6" t="s">
        <v>135</v>
      </c>
      <c r="F586" s="6">
        <v>100</v>
      </c>
      <c r="G586" s="6" t="s">
        <v>315</v>
      </c>
      <c r="H586" s="6" t="s">
        <v>316</v>
      </c>
      <c r="I586" s="6" t="s">
        <v>35</v>
      </c>
      <c r="J586" s="6" t="s">
        <v>20</v>
      </c>
      <c r="K586" s="7">
        <v>30.52</v>
      </c>
    </row>
    <row r="587" spans="1:11" s="4" customFormat="1" ht="10.199999999999999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7"/>
    </row>
    <row r="588" spans="1:11" s="4" customFormat="1" ht="10.199999999999999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7"/>
    </row>
    <row r="589" spans="1:11" s="4" customFormat="1" ht="10.199999999999999" x14ac:dyDescent="0.2">
      <c r="A589" s="6" t="str">
        <f t="shared" ref="A589:A595" si="17">"0010140030"</f>
        <v>0010140030</v>
      </c>
      <c r="B589" s="6" t="str">
        <f>"197005"</f>
        <v>197005</v>
      </c>
      <c r="C589" s="6" t="s">
        <v>319</v>
      </c>
      <c r="D589" s="6" t="s">
        <v>39</v>
      </c>
      <c r="E589" s="6" t="s">
        <v>13</v>
      </c>
      <c r="F589" s="6">
        <v>28</v>
      </c>
      <c r="G589" s="6" t="s">
        <v>320</v>
      </c>
      <c r="H589" s="6" t="s">
        <v>321</v>
      </c>
      <c r="I589" s="6" t="s">
        <v>49</v>
      </c>
      <c r="J589" s="6" t="s">
        <v>17</v>
      </c>
      <c r="K589" s="7">
        <v>21.6</v>
      </c>
    </row>
    <row r="590" spans="1:11" s="4" customFormat="1" ht="10.199999999999999" x14ac:dyDescent="0.2">
      <c r="A590" s="6" t="str">
        <f t="shared" si="17"/>
        <v>0010140030</v>
      </c>
      <c r="B590" s="6" t="str">
        <f>"086596"</f>
        <v>086596</v>
      </c>
      <c r="C590" s="6" t="s">
        <v>322</v>
      </c>
      <c r="D590" s="6" t="s">
        <v>39</v>
      </c>
      <c r="E590" s="6" t="s">
        <v>13</v>
      </c>
      <c r="F590" s="6">
        <v>30</v>
      </c>
      <c r="G590" s="6" t="s">
        <v>320</v>
      </c>
      <c r="H590" s="6" t="s">
        <v>321</v>
      </c>
      <c r="I590" s="6" t="s">
        <v>274</v>
      </c>
      <c r="J590" s="6" t="s">
        <v>20</v>
      </c>
      <c r="K590" s="7">
        <v>13.89</v>
      </c>
    </row>
    <row r="591" spans="1:11" s="4" customFormat="1" ht="10.199999999999999" x14ac:dyDescent="0.2">
      <c r="A591" s="6" t="str">
        <f t="shared" si="17"/>
        <v>0010140030</v>
      </c>
      <c r="B591" s="6" t="str">
        <f>"090986"</f>
        <v>090986</v>
      </c>
      <c r="C591" s="6" t="s">
        <v>323</v>
      </c>
      <c r="D591" s="6" t="s">
        <v>39</v>
      </c>
      <c r="E591" s="6" t="s">
        <v>13</v>
      </c>
      <c r="F591" s="6">
        <v>30</v>
      </c>
      <c r="G591" s="6" t="s">
        <v>320</v>
      </c>
      <c r="H591" s="6" t="s">
        <v>321</v>
      </c>
      <c r="I591" s="6" t="s">
        <v>37</v>
      </c>
      <c r="J591" s="6" t="s">
        <v>20</v>
      </c>
      <c r="K591" s="7">
        <v>13.89</v>
      </c>
    </row>
    <row r="592" spans="1:11" s="4" customFormat="1" ht="10.199999999999999" x14ac:dyDescent="0.2">
      <c r="A592" s="6" t="str">
        <f t="shared" si="17"/>
        <v>0010140030</v>
      </c>
      <c r="B592" s="6" t="str">
        <f>"370520"</f>
        <v>370520</v>
      </c>
      <c r="C592" s="6" t="s">
        <v>324</v>
      </c>
      <c r="D592" s="6" t="s">
        <v>39</v>
      </c>
      <c r="E592" s="6" t="s">
        <v>13</v>
      </c>
      <c r="F592" s="6">
        <v>30</v>
      </c>
      <c r="G592" s="6" t="s">
        <v>320</v>
      </c>
      <c r="H592" s="6" t="s">
        <v>321</v>
      </c>
      <c r="I592" s="6" t="s">
        <v>19</v>
      </c>
      <c r="J592" s="6" t="s">
        <v>20</v>
      </c>
      <c r="K592" s="7">
        <v>13.89</v>
      </c>
    </row>
    <row r="593" spans="1:11" s="4" customFormat="1" ht="10.199999999999999" x14ac:dyDescent="0.2">
      <c r="A593" s="6" t="str">
        <f t="shared" si="17"/>
        <v>0010140030</v>
      </c>
      <c r="B593" s="6" t="str">
        <f>"442696"</f>
        <v>442696</v>
      </c>
      <c r="C593" s="6" t="s">
        <v>325</v>
      </c>
      <c r="D593" s="6" t="s">
        <v>39</v>
      </c>
      <c r="E593" s="6" t="s">
        <v>13</v>
      </c>
      <c r="F593" s="6">
        <v>30</v>
      </c>
      <c r="G593" s="6" t="s">
        <v>320</v>
      </c>
      <c r="H593" s="6" t="s">
        <v>321</v>
      </c>
      <c r="I593" s="6" t="s">
        <v>28</v>
      </c>
      <c r="J593" s="6" t="s">
        <v>20</v>
      </c>
      <c r="K593" s="7">
        <v>13.89</v>
      </c>
    </row>
    <row r="594" spans="1:11" s="4" customFormat="1" ht="20.399999999999999" x14ac:dyDescent="0.2">
      <c r="A594" s="6" t="str">
        <f t="shared" si="17"/>
        <v>0010140030</v>
      </c>
      <c r="B594" s="6" t="str">
        <f>"496676"</f>
        <v>496676</v>
      </c>
      <c r="C594" s="6" t="s">
        <v>326</v>
      </c>
      <c r="D594" s="6" t="s">
        <v>39</v>
      </c>
      <c r="E594" s="6" t="s">
        <v>13</v>
      </c>
      <c r="F594" s="6">
        <v>28</v>
      </c>
      <c r="G594" s="6" t="s">
        <v>320</v>
      </c>
      <c r="H594" s="6" t="s">
        <v>321</v>
      </c>
      <c r="I594" s="6" t="s">
        <v>327</v>
      </c>
      <c r="J594" s="6" t="s">
        <v>20</v>
      </c>
      <c r="K594" s="7">
        <v>12.96</v>
      </c>
    </row>
    <row r="595" spans="1:11" s="4" customFormat="1" ht="10.199999999999999" x14ac:dyDescent="0.2">
      <c r="A595" s="6" t="str">
        <f t="shared" si="17"/>
        <v>0010140030</v>
      </c>
      <c r="B595" s="6" t="str">
        <f>"533231"</f>
        <v>533231</v>
      </c>
      <c r="C595" s="6" t="s">
        <v>328</v>
      </c>
      <c r="D595" s="6" t="s">
        <v>39</v>
      </c>
      <c r="E595" s="6" t="s">
        <v>13</v>
      </c>
      <c r="F595" s="6">
        <v>28</v>
      </c>
      <c r="G595" s="6" t="s">
        <v>320</v>
      </c>
      <c r="H595" s="6" t="s">
        <v>321</v>
      </c>
      <c r="I595" s="6" t="s">
        <v>35</v>
      </c>
      <c r="J595" s="6" t="s">
        <v>20</v>
      </c>
      <c r="K595" s="7">
        <v>12.96</v>
      </c>
    </row>
    <row r="596" spans="1:11" s="4" customFormat="1" ht="10.199999999999999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7"/>
    </row>
    <row r="597" spans="1:11" s="4" customFormat="1" ht="10.199999999999999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7"/>
    </row>
    <row r="598" spans="1:11" s="4" customFormat="1" ht="10.199999999999999" x14ac:dyDescent="0.2">
      <c r="A598" s="6" t="str">
        <f t="shared" ref="A598:A604" si="18">"0010140100"</f>
        <v>0010140100</v>
      </c>
      <c r="B598" s="6" t="str">
        <f>"582737"</f>
        <v>582737</v>
      </c>
      <c r="C598" s="6" t="s">
        <v>319</v>
      </c>
      <c r="D598" s="6" t="s">
        <v>39</v>
      </c>
      <c r="E598" s="6" t="s">
        <v>13</v>
      </c>
      <c r="F598" s="6">
        <v>98</v>
      </c>
      <c r="G598" s="6" t="s">
        <v>320</v>
      </c>
      <c r="H598" s="6" t="s">
        <v>321</v>
      </c>
      <c r="I598" s="6" t="s">
        <v>49</v>
      </c>
      <c r="J598" s="6" t="s">
        <v>17</v>
      </c>
      <c r="K598" s="7">
        <v>73.680000000000007</v>
      </c>
    </row>
    <row r="599" spans="1:11" s="4" customFormat="1" ht="10.199999999999999" x14ac:dyDescent="0.2">
      <c r="A599" s="6" t="str">
        <f t="shared" si="18"/>
        <v>0010140100</v>
      </c>
      <c r="B599" s="6" t="str">
        <f>"086608"</f>
        <v>086608</v>
      </c>
      <c r="C599" s="6" t="s">
        <v>322</v>
      </c>
      <c r="D599" s="6" t="s">
        <v>39</v>
      </c>
      <c r="E599" s="6" t="s">
        <v>13</v>
      </c>
      <c r="F599" s="6">
        <v>100</v>
      </c>
      <c r="G599" s="6" t="s">
        <v>320</v>
      </c>
      <c r="H599" s="6" t="s">
        <v>321</v>
      </c>
      <c r="I599" s="6" t="s">
        <v>274</v>
      </c>
      <c r="J599" s="6" t="s">
        <v>20</v>
      </c>
      <c r="K599" s="7">
        <v>45.11</v>
      </c>
    </row>
    <row r="600" spans="1:11" s="4" customFormat="1" ht="10.199999999999999" x14ac:dyDescent="0.2">
      <c r="A600" s="6" t="str">
        <f t="shared" si="18"/>
        <v>0010140100</v>
      </c>
      <c r="B600" s="6" t="str">
        <f>"090975"</f>
        <v>090975</v>
      </c>
      <c r="C600" s="6" t="s">
        <v>323</v>
      </c>
      <c r="D600" s="6" t="s">
        <v>39</v>
      </c>
      <c r="E600" s="6" t="s">
        <v>13</v>
      </c>
      <c r="F600" s="6">
        <v>100</v>
      </c>
      <c r="G600" s="6" t="s">
        <v>320</v>
      </c>
      <c r="H600" s="6" t="s">
        <v>321</v>
      </c>
      <c r="I600" s="6" t="s">
        <v>37</v>
      </c>
      <c r="J600" s="6" t="s">
        <v>20</v>
      </c>
      <c r="K600" s="7">
        <v>45.11</v>
      </c>
    </row>
    <row r="601" spans="1:11" s="4" customFormat="1" ht="10.199999999999999" x14ac:dyDescent="0.2">
      <c r="A601" s="6" t="str">
        <f t="shared" si="18"/>
        <v>0010140100</v>
      </c>
      <c r="B601" s="6" t="str">
        <f>"534512"</f>
        <v>534512</v>
      </c>
      <c r="C601" s="6" t="s">
        <v>325</v>
      </c>
      <c r="D601" s="6" t="s">
        <v>39</v>
      </c>
      <c r="E601" s="6" t="s">
        <v>13</v>
      </c>
      <c r="F601" s="6">
        <v>100</v>
      </c>
      <c r="G601" s="6" t="s">
        <v>320</v>
      </c>
      <c r="H601" s="6" t="s">
        <v>321</v>
      </c>
      <c r="I601" s="6" t="s">
        <v>28</v>
      </c>
      <c r="J601" s="6" t="s">
        <v>20</v>
      </c>
      <c r="K601" s="7">
        <v>45.11</v>
      </c>
    </row>
    <row r="602" spans="1:11" s="4" customFormat="1" ht="10.199999999999999" x14ac:dyDescent="0.2">
      <c r="A602" s="6" t="str">
        <f t="shared" si="18"/>
        <v>0010140100</v>
      </c>
      <c r="B602" s="6" t="str">
        <f>"568442"</f>
        <v>568442</v>
      </c>
      <c r="C602" s="6" t="s">
        <v>324</v>
      </c>
      <c r="D602" s="6" t="s">
        <v>39</v>
      </c>
      <c r="E602" s="6" t="s">
        <v>13</v>
      </c>
      <c r="F602" s="6">
        <v>100</v>
      </c>
      <c r="G602" s="6" t="s">
        <v>320</v>
      </c>
      <c r="H602" s="6" t="s">
        <v>321</v>
      </c>
      <c r="I602" s="6" t="s">
        <v>19</v>
      </c>
      <c r="J602" s="6" t="s">
        <v>20</v>
      </c>
      <c r="K602" s="7">
        <v>45.11</v>
      </c>
    </row>
    <row r="603" spans="1:11" s="4" customFormat="1" ht="20.399999999999999" x14ac:dyDescent="0.2">
      <c r="A603" s="6" t="str">
        <f t="shared" si="18"/>
        <v>0010140100</v>
      </c>
      <c r="B603" s="6" t="str">
        <f>"484011"</f>
        <v>484011</v>
      </c>
      <c r="C603" s="6" t="s">
        <v>326</v>
      </c>
      <c r="D603" s="6" t="s">
        <v>39</v>
      </c>
      <c r="E603" s="6" t="s">
        <v>13</v>
      </c>
      <c r="F603" s="6">
        <v>98</v>
      </c>
      <c r="G603" s="6" t="s">
        <v>320</v>
      </c>
      <c r="H603" s="6" t="s">
        <v>321</v>
      </c>
      <c r="I603" s="6" t="s">
        <v>327</v>
      </c>
      <c r="J603" s="6" t="s">
        <v>20</v>
      </c>
      <c r="K603" s="7">
        <v>44.2</v>
      </c>
    </row>
    <row r="604" spans="1:11" s="4" customFormat="1" ht="10.199999999999999" x14ac:dyDescent="0.2">
      <c r="A604" s="6" t="str">
        <f t="shared" si="18"/>
        <v>0010140100</v>
      </c>
      <c r="B604" s="6" t="str">
        <f>"591979"</f>
        <v>591979</v>
      </c>
      <c r="C604" s="6" t="s">
        <v>328</v>
      </c>
      <c r="D604" s="6" t="s">
        <v>39</v>
      </c>
      <c r="E604" s="6" t="s">
        <v>13</v>
      </c>
      <c r="F604" s="6">
        <v>98</v>
      </c>
      <c r="G604" s="6" t="s">
        <v>320</v>
      </c>
      <c r="H604" s="6" t="s">
        <v>321</v>
      </c>
      <c r="I604" s="6" t="s">
        <v>35</v>
      </c>
      <c r="J604" s="6" t="s">
        <v>20</v>
      </c>
      <c r="K604" s="7">
        <v>44.2</v>
      </c>
    </row>
    <row r="605" spans="1:11" s="4" customFormat="1" ht="10.199999999999999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7"/>
    </row>
    <row r="606" spans="1:11" s="4" customFormat="1" ht="10.199999999999999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7"/>
    </row>
    <row r="607" spans="1:11" s="4" customFormat="1" ht="10.199999999999999" x14ac:dyDescent="0.2">
      <c r="A607" s="6" t="str">
        <f t="shared" ref="A607:A613" si="19">"0010150030"</f>
        <v>0010150030</v>
      </c>
      <c r="B607" s="6" t="str">
        <f>"482603"</f>
        <v>482603</v>
      </c>
      <c r="C607" s="6" t="s">
        <v>319</v>
      </c>
      <c r="D607" s="6" t="s">
        <v>22</v>
      </c>
      <c r="E607" s="6" t="s">
        <v>13</v>
      </c>
      <c r="F607" s="6">
        <v>28</v>
      </c>
      <c r="G607" s="6" t="s">
        <v>320</v>
      </c>
      <c r="H607" s="6" t="s">
        <v>321</v>
      </c>
      <c r="I607" s="6" t="s">
        <v>49</v>
      </c>
      <c r="J607" s="6" t="s">
        <v>17</v>
      </c>
      <c r="K607" s="7">
        <v>32.83</v>
      </c>
    </row>
    <row r="608" spans="1:11" s="4" customFormat="1" ht="10.199999999999999" x14ac:dyDescent="0.2">
      <c r="A608" s="6" t="str">
        <f t="shared" si="19"/>
        <v>0010150030</v>
      </c>
      <c r="B608" s="6" t="str">
        <f>"086619"</f>
        <v>086619</v>
      </c>
      <c r="C608" s="6" t="s">
        <v>322</v>
      </c>
      <c r="D608" s="6" t="s">
        <v>22</v>
      </c>
      <c r="E608" s="6" t="s">
        <v>13</v>
      </c>
      <c r="F608" s="6">
        <v>30</v>
      </c>
      <c r="G608" s="6" t="s">
        <v>320</v>
      </c>
      <c r="H608" s="6" t="s">
        <v>321</v>
      </c>
      <c r="I608" s="6" t="s">
        <v>274</v>
      </c>
      <c r="J608" s="6" t="s">
        <v>20</v>
      </c>
      <c r="K608" s="7">
        <v>21.11</v>
      </c>
    </row>
    <row r="609" spans="1:11" s="4" customFormat="1" ht="10.199999999999999" x14ac:dyDescent="0.2">
      <c r="A609" s="6" t="str">
        <f t="shared" si="19"/>
        <v>0010150030</v>
      </c>
      <c r="B609" s="6" t="str">
        <f>"091010"</f>
        <v>091010</v>
      </c>
      <c r="C609" s="6" t="s">
        <v>323</v>
      </c>
      <c r="D609" s="6" t="s">
        <v>22</v>
      </c>
      <c r="E609" s="6" t="s">
        <v>13</v>
      </c>
      <c r="F609" s="6">
        <v>30</v>
      </c>
      <c r="G609" s="6" t="s">
        <v>320</v>
      </c>
      <c r="H609" s="6" t="s">
        <v>321</v>
      </c>
      <c r="I609" s="6" t="s">
        <v>37</v>
      </c>
      <c r="J609" s="6" t="s">
        <v>20</v>
      </c>
      <c r="K609" s="7">
        <v>21.11</v>
      </c>
    </row>
    <row r="610" spans="1:11" s="4" customFormat="1" ht="10.199999999999999" x14ac:dyDescent="0.2">
      <c r="A610" s="6" t="str">
        <f t="shared" si="19"/>
        <v>0010150030</v>
      </c>
      <c r="B610" s="6" t="str">
        <f>"506806"</f>
        <v>506806</v>
      </c>
      <c r="C610" s="6" t="s">
        <v>325</v>
      </c>
      <c r="D610" s="6" t="s">
        <v>22</v>
      </c>
      <c r="E610" s="6" t="s">
        <v>13</v>
      </c>
      <c r="F610" s="6">
        <v>30</v>
      </c>
      <c r="G610" s="6" t="s">
        <v>320</v>
      </c>
      <c r="H610" s="6" t="s">
        <v>321</v>
      </c>
      <c r="I610" s="6" t="s">
        <v>28</v>
      </c>
      <c r="J610" s="6" t="s">
        <v>20</v>
      </c>
      <c r="K610" s="7">
        <v>21.11</v>
      </c>
    </row>
    <row r="611" spans="1:11" s="4" customFormat="1" ht="10.199999999999999" x14ac:dyDescent="0.2">
      <c r="A611" s="6" t="str">
        <f t="shared" si="19"/>
        <v>0010150030</v>
      </c>
      <c r="B611" s="6" t="str">
        <f>"537400"</f>
        <v>537400</v>
      </c>
      <c r="C611" s="6" t="s">
        <v>324</v>
      </c>
      <c r="D611" s="6" t="s">
        <v>22</v>
      </c>
      <c r="E611" s="6" t="s">
        <v>13</v>
      </c>
      <c r="F611" s="6">
        <v>30</v>
      </c>
      <c r="G611" s="6" t="s">
        <v>320</v>
      </c>
      <c r="H611" s="6" t="s">
        <v>321</v>
      </c>
      <c r="I611" s="6" t="s">
        <v>19</v>
      </c>
      <c r="J611" s="6" t="s">
        <v>20</v>
      </c>
      <c r="K611" s="7">
        <v>21.11</v>
      </c>
    </row>
    <row r="612" spans="1:11" s="4" customFormat="1" ht="20.399999999999999" x14ac:dyDescent="0.2">
      <c r="A612" s="6" t="str">
        <f t="shared" si="19"/>
        <v>0010150030</v>
      </c>
      <c r="B612" s="6" t="str">
        <f>"428251"</f>
        <v>428251</v>
      </c>
      <c r="C612" s="6" t="s">
        <v>326</v>
      </c>
      <c r="D612" s="6" t="s">
        <v>22</v>
      </c>
      <c r="E612" s="6" t="s">
        <v>13</v>
      </c>
      <c r="F612" s="6">
        <v>28</v>
      </c>
      <c r="G612" s="6" t="s">
        <v>320</v>
      </c>
      <c r="H612" s="6" t="s">
        <v>321</v>
      </c>
      <c r="I612" s="6" t="s">
        <v>327</v>
      </c>
      <c r="J612" s="6" t="s">
        <v>20</v>
      </c>
      <c r="K612" s="7">
        <v>19.71</v>
      </c>
    </row>
    <row r="613" spans="1:11" s="4" customFormat="1" ht="10.199999999999999" x14ac:dyDescent="0.2">
      <c r="A613" s="6" t="str">
        <f t="shared" si="19"/>
        <v>0010150030</v>
      </c>
      <c r="B613" s="6" t="str">
        <f>"543086"</f>
        <v>543086</v>
      </c>
      <c r="C613" s="6" t="s">
        <v>328</v>
      </c>
      <c r="D613" s="6" t="s">
        <v>22</v>
      </c>
      <c r="E613" s="6" t="s">
        <v>13</v>
      </c>
      <c r="F613" s="6">
        <v>28</v>
      </c>
      <c r="G613" s="6" t="s">
        <v>320</v>
      </c>
      <c r="H613" s="6" t="s">
        <v>321</v>
      </c>
      <c r="I613" s="6" t="s">
        <v>35</v>
      </c>
      <c r="J613" s="6" t="s">
        <v>20</v>
      </c>
      <c r="K613" s="7">
        <v>19.71</v>
      </c>
    </row>
    <row r="614" spans="1:11" s="4" customFormat="1" ht="10.199999999999999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7"/>
    </row>
    <row r="615" spans="1:11" s="4" customFormat="1" ht="10.199999999999999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7"/>
    </row>
    <row r="616" spans="1:11" s="4" customFormat="1" ht="10.199999999999999" x14ac:dyDescent="0.2">
      <c r="A616" s="6" t="str">
        <f t="shared" ref="A616:A623" si="20">"0010150100"</f>
        <v>0010150100</v>
      </c>
      <c r="B616" s="6" t="str">
        <f>"407798"</f>
        <v>407798</v>
      </c>
      <c r="C616" s="6" t="s">
        <v>319</v>
      </c>
      <c r="D616" s="6" t="s">
        <v>22</v>
      </c>
      <c r="E616" s="6" t="s">
        <v>13</v>
      </c>
      <c r="F616" s="6">
        <v>98</v>
      </c>
      <c r="G616" s="6" t="s">
        <v>320</v>
      </c>
      <c r="H616" s="6" t="s">
        <v>321</v>
      </c>
      <c r="I616" s="6" t="s">
        <v>49</v>
      </c>
      <c r="J616" s="6" t="s">
        <v>17</v>
      </c>
      <c r="K616" s="7">
        <v>111.97</v>
      </c>
    </row>
    <row r="617" spans="1:11" s="4" customFormat="1" ht="10.199999999999999" x14ac:dyDescent="0.2">
      <c r="A617" s="6" t="str">
        <f t="shared" si="20"/>
        <v>0010150100</v>
      </c>
      <c r="B617" s="6" t="str">
        <f>"086630"</f>
        <v>086630</v>
      </c>
      <c r="C617" s="6" t="s">
        <v>322</v>
      </c>
      <c r="D617" s="6" t="s">
        <v>22</v>
      </c>
      <c r="E617" s="6" t="s">
        <v>13</v>
      </c>
      <c r="F617" s="6">
        <v>100</v>
      </c>
      <c r="G617" s="6" t="s">
        <v>320</v>
      </c>
      <c r="H617" s="6" t="s">
        <v>321</v>
      </c>
      <c r="I617" s="6" t="s">
        <v>274</v>
      </c>
      <c r="J617" s="6" t="s">
        <v>20</v>
      </c>
      <c r="K617" s="7">
        <v>68.55</v>
      </c>
    </row>
    <row r="618" spans="1:11" s="4" customFormat="1" ht="10.199999999999999" x14ac:dyDescent="0.2">
      <c r="A618" s="6" t="str">
        <f t="shared" si="20"/>
        <v>0010150100</v>
      </c>
      <c r="B618" s="6" t="str">
        <f>"090998"</f>
        <v>090998</v>
      </c>
      <c r="C618" s="6" t="s">
        <v>323</v>
      </c>
      <c r="D618" s="6" t="s">
        <v>22</v>
      </c>
      <c r="E618" s="6" t="s">
        <v>13</v>
      </c>
      <c r="F618" s="6">
        <v>100</v>
      </c>
      <c r="G618" s="6" t="s">
        <v>320</v>
      </c>
      <c r="H618" s="6" t="s">
        <v>321</v>
      </c>
      <c r="I618" s="6" t="s">
        <v>37</v>
      </c>
      <c r="J618" s="6" t="s">
        <v>20</v>
      </c>
      <c r="K618" s="7">
        <v>68.55</v>
      </c>
    </row>
    <row r="619" spans="1:11" s="4" customFormat="1" ht="10.199999999999999" x14ac:dyDescent="0.2">
      <c r="A619" s="6" t="str">
        <f t="shared" si="20"/>
        <v>0010150100</v>
      </c>
      <c r="B619" s="6" t="str">
        <f>"120768"</f>
        <v>120768</v>
      </c>
      <c r="C619" s="6" t="s">
        <v>325</v>
      </c>
      <c r="D619" s="6" t="s">
        <v>22</v>
      </c>
      <c r="E619" s="6" t="s">
        <v>13</v>
      </c>
      <c r="F619" s="6">
        <v>100</v>
      </c>
      <c r="G619" s="6" t="s">
        <v>320</v>
      </c>
      <c r="H619" s="6" t="s">
        <v>321</v>
      </c>
      <c r="I619" s="6" t="s">
        <v>28</v>
      </c>
      <c r="J619" s="6" t="s">
        <v>20</v>
      </c>
      <c r="K619" s="7">
        <v>68.55</v>
      </c>
    </row>
    <row r="620" spans="1:11" s="4" customFormat="1" ht="10.199999999999999" x14ac:dyDescent="0.2">
      <c r="A620" s="6" t="str">
        <f t="shared" si="20"/>
        <v>0010150100</v>
      </c>
      <c r="B620" s="6" t="str">
        <f>"524701"</f>
        <v>524701</v>
      </c>
      <c r="C620" s="6" t="s">
        <v>324</v>
      </c>
      <c r="D620" s="6" t="s">
        <v>22</v>
      </c>
      <c r="E620" s="6" t="s">
        <v>13</v>
      </c>
      <c r="F620" s="6">
        <v>100</v>
      </c>
      <c r="G620" s="6" t="s">
        <v>320</v>
      </c>
      <c r="H620" s="6" t="s">
        <v>321</v>
      </c>
      <c r="I620" s="6" t="s">
        <v>19</v>
      </c>
      <c r="J620" s="6" t="s">
        <v>20</v>
      </c>
      <c r="K620" s="7">
        <v>68.55</v>
      </c>
    </row>
    <row r="621" spans="1:11" s="4" customFormat="1" ht="20.399999999999999" x14ac:dyDescent="0.2">
      <c r="A621" s="6" t="str">
        <f t="shared" si="20"/>
        <v>0010150100</v>
      </c>
      <c r="B621" s="6" t="str">
        <f>"030790"</f>
        <v>030790</v>
      </c>
      <c r="C621" s="6" t="s">
        <v>326</v>
      </c>
      <c r="D621" s="6" t="s">
        <v>22</v>
      </c>
      <c r="E621" s="6" t="s">
        <v>13</v>
      </c>
      <c r="F621" s="6">
        <v>98</v>
      </c>
      <c r="G621" s="6" t="s">
        <v>320</v>
      </c>
      <c r="H621" s="6" t="s">
        <v>321</v>
      </c>
      <c r="I621" s="6" t="s">
        <v>327</v>
      </c>
      <c r="J621" s="6" t="s">
        <v>20</v>
      </c>
      <c r="K621" s="7">
        <v>67.13</v>
      </c>
    </row>
    <row r="622" spans="1:11" s="4" customFormat="1" ht="10.199999999999999" x14ac:dyDescent="0.2">
      <c r="A622" s="6" t="str">
        <f t="shared" si="20"/>
        <v>0010150100</v>
      </c>
      <c r="B622" s="6" t="str">
        <f>"453633"</f>
        <v>453633</v>
      </c>
      <c r="C622" s="6" t="s">
        <v>328</v>
      </c>
      <c r="D622" s="6" t="s">
        <v>22</v>
      </c>
      <c r="E622" s="6" t="s">
        <v>13</v>
      </c>
      <c r="F622" s="6">
        <v>98</v>
      </c>
      <c r="G622" s="6" t="s">
        <v>320</v>
      </c>
      <c r="H622" s="6" t="s">
        <v>321</v>
      </c>
      <c r="I622" s="6" t="s">
        <v>35</v>
      </c>
      <c r="J622" s="6" t="s">
        <v>20</v>
      </c>
      <c r="K622" s="7">
        <v>67.13</v>
      </c>
    </row>
    <row r="623" spans="1:11" s="4" customFormat="1" ht="10.199999999999999" x14ac:dyDescent="0.2">
      <c r="A623" s="6" t="str">
        <f t="shared" si="20"/>
        <v>0010150100</v>
      </c>
      <c r="B623" s="6" t="str">
        <f>"457468"</f>
        <v>457468</v>
      </c>
      <c r="C623" s="6" t="s">
        <v>329</v>
      </c>
      <c r="D623" s="6" t="s">
        <v>22</v>
      </c>
      <c r="E623" s="6" t="s">
        <v>13</v>
      </c>
      <c r="F623" s="6">
        <v>98</v>
      </c>
      <c r="G623" s="6" t="s">
        <v>320</v>
      </c>
      <c r="H623" s="6" t="s">
        <v>321</v>
      </c>
      <c r="I623" s="6" t="s">
        <v>30</v>
      </c>
      <c r="J623" s="6" t="s">
        <v>20</v>
      </c>
      <c r="K623" s="7">
        <v>67.13</v>
      </c>
    </row>
    <row r="624" spans="1:11" s="4" customFormat="1" ht="10.199999999999999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7"/>
    </row>
    <row r="625" spans="1:11" s="4" customFormat="1" ht="10.199999999999999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7"/>
    </row>
    <row r="626" spans="1:11" s="4" customFormat="1" ht="10.199999999999999" x14ac:dyDescent="0.2">
      <c r="A626" s="6" t="str">
        <f>"0010160030"</f>
        <v>0010160030</v>
      </c>
      <c r="B626" s="6" t="str">
        <f>"461064"</f>
        <v>461064</v>
      </c>
      <c r="C626" s="6" t="s">
        <v>319</v>
      </c>
      <c r="D626" s="6" t="s">
        <v>33</v>
      </c>
      <c r="E626" s="6" t="s">
        <v>13</v>
      </c>
      <c r="F626" s="6">
        <v>28</v>
      </c>
      <c r="G626" s="6" t="s">
        <v>320</v>
      </c>
      <c r="H626" s="6" t="s">
        <v>321</v>
      </c>
      <c r="I626" s="6" t="s">
        <v>49</v>
      </c>
      <c r="J626" s="6" t="s">
        <v>17</v>
      </c>
      <c r="K626" s="7">
        <v>42.38</v>
      </c>
    </row>
    <row r="627" spans="1:11" s="4" customFormat="1" ht="10.199999999999999" x14ac:dyDescent="0.2">
      <c r="A627" s="6" t="str">
        <f>"0010160030"</f>
        <v>0010160030</v>
      </c>
      <c r="B627" s="6" t="str">
        <f>"086641"</f>
        <v>086641</v>
      </c>
      <c r="C627" s="6" t="s">
        <v>322</v>
      </c>
      <c r="D627" s="6" t="s">
        <v>33</v>
      </c>
      <c r="E627" s="6" t="s">
        <v>13</v>
      </c>
      <c r="F627" s="6">
        <v>30</v>
      </c>
      <c r="G627" s="6" t="s">
        <v>320</v>
      </c>
      <c r="H627" s="6" t="s">
        <v>321</v>
      </c>
      <c r="I627" s="6" t="s">
        <v>274</v>
      </c>
      <c r="J627" s="6" t="s">
        <v>20</v>
      </c>
      <c r="K627" s="7">
        <v>27.24</v>
      </c>
    </row>
    <row r="628" spans="1:11" s="4" customFormat="1" ht="10.199999999999999" x14ac:dyDescent="0.2">
      <c r="A628" s="6" t="str">
        <f>"0010160030"</f>
        <v>0010160030</v>
      </c>
      <c r="B628" s="6" t="str">
        <f>"423424"</f>
        <v>423424</v>
      </c>
      <c r="C628" s="6" t="s">
        <v>324</v>
      </c>
      <c r="D628" s="6" t="s">
        <v>33</v>
      </c>
      <c r="E628" s="6" t="s">
        <v>13</v>
      </c>
      <c r="F628" s="6">
        <v>30</v>
      </c>
      <c r="G628" s="6" t="s">
        <v>320</v>
      </c>
      <c r="H628" s="6" t="s">
        <v>321</v>
      </c>
      <c r="I628" s="6" t="s">
        <v>19</v>
      </c>
      <c r="J628" s="6" t="s">
        <v>20</v>
      </c>
      <c r="K628" s="7">
        <v>27.24</v>
      </c>
    </row>
    <row r="629" spans="1:11" s="4" customFormat="1" ht="10.199999999999999" x14ac:dyDescent="0.2">
      <c r="A629" s="6" t="str">
        <f>"0010160030"</f>
        <v>0010160030</v>
      </c>
      <c r="B629" s="6" t="str">
        <f>"530109"</f>
        <v>530109</v>
      </c>
      <c r="C629" s="6" t="s">
        <v>325</v>
      </c>
      <c r="D629" s="6" t="s">
        <v>33</v>
      </c>
      <c r="E629" s="6" t="s">
        <v>13</v>
      </c>
      <c r="F629" s="6">
        <v>30</v>
      </c>
      <c r="G629" s="6" t="s">
        <v>320</v>
      </c>
      <c r="H629" s="6" t="s">
        <v>321</v>
      </c>
      <c r="I629" s="6" t="s">
        <v>28</v>
      </c>
      <c r="J629" s="6" t="s">
        <v>20</v>
      </c>
      <c r="K629" s="7">
        <v>27.24</v>
      </c>
    </row>
    <row r="630" spans="1:11" s="4" customFormat="1" ht="10.199999999999999" x14ac:dyDescent="0.2">
      <c r="A630" s="6" t="str">
        <f>"0010160030"</f>
        <v>0010160030</v>
      </c>
      <c r="B630" s="6" t="str">
        <f>"456978"</f>
        <v>456978</v>
      </c>
      <c r="C630" s="6" t="s">
        <v>328</v>
      </c>
      <c r="D630" s="6" t="s">
        <v>33</v>
      </c>
      <c r="E630" s="6" t="s">
        <v>13</v>
      </c>
      <c r="F630" s="6">
        <v>28</v>
      </c>
      <c r="G630" s="6" t="s">
        <v>320</v>
      </c>
      <c r="H630" s="6" t="s">
        <v>321</v>
      </c>
      <c r="I630" s="6" t="s">
        <v>35</v>
      </c>
      <c r="J630" s="6" t="s">
        <v>20</v>
      </c>
      <c r="K630" s="7">
        <v>25.42</v>
      </c>
    </row>
    <row r="631" spans="1:11" s="4" customFormat="1" ht="10.199999999999999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7"/>
    </row>
    <row r="632" spans="1:11" s="4" customFormat="1" ht="10.199999999999999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7"/>
    </row>
    <row r="633" spans="1:11" s="4" customFormat="1" ht="10.199999999999999" x14ac:dyDescent="0.2">
      <c r="A633" s="6" t="str">
        <f t="shared" ref="A633:A639" si="21">"0010160100"</f>
        <v>0010160100</v>
      </c>
      <c r="B633" s="6" t="str">
        <f>"104214"</f>
        <v>104214</v>
      </c>
      <c r="C633" s="6" t="s">
        <v>319</v>
      </c>
      <c r="D633" s="6" t="s">
        <v>33</v>
      </c>
      <c r="E633" s="6" t="s">
        <v>13</v>
      </c>
      <c r="F633" s="6">
        <v>98</v>
      </c>
      <c r="G633" s="6" t="s">
        <v>320</v>
      </c>
      <c r="H633" s="6" t="s">
        <v>321</v>
      </c>
      <c r="I633" s="6" t="s">
        <v>49</v>
      </c>
      <c r="J633" s="6" t="s">
        <v>17</v>
      </c>
      <c r="K633" s="7">
        <v>144.57</v>
      </c>
    </row>
    <row r="634" spans="1:11" s="4" customFormat="1" ht="10.199999999999999" x14ac:dyDescent="0.2">
      <c r="A634" s="6" t="str">
        <f t="shared" si="21"/>
        <v>0010160100</v>
      </c>
      <c r="B634" s="6" t="str">
        <f>"075732"</f>
        <v>075732</v>
      </c>
      <c r="C634" s="6" t="s">
        <v>324</v>
      </c>
      <c r="D634" s="6" t="s">
        <v>33</v>
      </c>
      <c r="E634" s="6" t="s">
        <v>13</v>
      </c>
      <c r="F634" s="6">
        <v>100</v>
      </c>
      <c r="G634" s="6" t="s">
        <v>320</v>
      </c>
      <c r="H634" s="6" t="s">
        <v>321</v>
      </c>
      <c r="I634" s="6" t="s">
        <v>19</v>
      </c>
      <c r="J634" s="6" t="s">
        <v>20</v>
      </c>
      <c r="K634" s="7">
        <v>88.51</v>
      </c>
    </row>
    <row r="635" spans="1:11" s="4" customFormat="1" ht="10.199999999999999" x14ac:dyDescent="0.2">
      <c r="A635" s="6" t="str">
        <f t="shared" si="21"/>
        <v>0010160100</v>
      </c>
      <c r="B635" s="6" t="str">
        <f>"086654"</f>
        <v>086654</v>
      </c>
      <c r="C635" s="6" t="s">
        <v>322</v>
      </c>
      <c r="D635" s="6" t="s">
        <v>33</v>
      </c>
      <c r="E635" s="6" t="s">
        <v>13</v>
      </c>
      <c r="F635" s="6">
        <v>100</v>
      </c>
      <c r="G635" s="6" t="s">
        <v>320</v>
      </c>
      <c r="H635" s="6" t="s">
        <v>321</v>
      </c>
      <c r="I635" s="6" t="s">
        <v>274</v>
      </c>
      <c r="J635" s="6" t="s">
        <v>20</v>
      </c>
      <c r="K635" s="7">
        <v>88.51</v>
      </c>
    </row>
    <row r="636" spans="1:11" s="4" customFormat="1" ht="10.199999999999999" x14ac:dyDescent="0.2">
      <c r="A636" s="6" t="str">
        <f t="shared" si="21"/>
        <v>0010160100</v>
      </c>
      <c r="B636" s="6" t="str">
        <f>"091021"</f>
        <v>091021</v>
      </c>
      <c r="C636" s="6" t="s">
        <v>323</v>
      </c>
      <c r="D636" s="6" t="s">
        <v>33</v>
      </c>
      <c r="E636" s="6" t="s">
        <v>13</v>
      </c>
      <c r="F636" s="6">
        <v>100</v>
      </c>
      <c r="G636" s="6" t="s">
        <v>320</v>
      </c>
      <c r="H636" s="6" t="s">
        <v>321</v>
      </c>
      <c r="I636" s="6" t="s">
        <v>37</v>
      </c>
      <c r="J636" s="6" t="s">
        <v>20</v>
      </c>
      <c r="K636" s="7">
        <v>88.51</v>
      </c>
    </row>
    <row r="637" spans="1:11" s="4" customFormat="1" ht="10.199999999999999" x14ac:dyDescent="0.2">
      <c r="A637" s="6" t="str">
        <f t="shared" si="21"/>
        <v>0010160100</v>
      </c>
      <c r="B637" s="6" t="str">
        <f>"380732"</f>
        <v>380732</v>
      </c>
      <c r="C637" s="6" t="s">
        <v>325</v>
      </c>
      <c r="D637" s="6" t="s">
        <v>33</v>
      </c>
      <c r="E637" s="6" t="s">
        <v>13</v>
      </c>
      <c r="F637" s="6">
        <v>100</v>
      </c>
      <c r="G637" s="6" t="s">
        <v>320</v>
      </c>
      <c r="H637" s="6" t="s">
        <v>321</v>
      </c>
      <c r="I637" s="6" t="s">
        <v>28</v>
      </c>
      <c r="J637" s="6" t="s">
        <v>20</v>
      </c>
      <c r="K637" s="7">
        <v>88.51</v>
      </c>
    </row>
    <row r="638" spans="1:11" s="4" customFormat="1" ht="20.399999999999999" x14ac:dyDescent="0.2">
      <c r="A638" s="6" t="str">
        <f t="shared" si="21"/>
        <v>0010160100</v>
      </c>
      <c r="B638" s="6" t="str">
        <f>"190472"</f>
        <v>190472</v>
      </c>
      <c r="C638" s="6" t="s">
        <v>326</v>
      </c>
      <c r="D638" s="6" t="s">
        <v>33</v>
      </c>
      <c r="E638" s="6" t="s">
        <v>13</v>
      </c>
      <c r="F638" s="6">
        <v>98</v>
      </c>
      <c r="G638" s="6" t="s">
        <v>320</v>
      </c>
      <c r="H638" s="6" t="s">
        <v>321</v>
      </c>
      <c r="I638" s="6" t="s">
        <v>327</v>
      </c>
      <c r="J638" s="6" t="s">
        <v>20</v>
      </c>
      <c r="K638" s="7">
        <v>86.73</v>
      </c>
    </row>
    <row r="639" spans="1:11" s="4" customFormat="1" ht="10.199999999999999" x14ac:dyDescent="0.2">
      <c r="A639" s="6" t="str">
        <f t="shared" si="21"/>
        <v>0010160100</v>
      </c>
      <c r="B639" s="6" t="str">
        <f>"493445"</f>
        <v>493445</v>
      </c>
      <c r="C639" s="6" t="s">
        <v>328</v>
      </c>
      <c r="D639" s="6" t="s">
        <v>33</v>
      </c>
      <c r="E639" s="6" t="s">
        <v>13</v>
      </c>
      <c r="F639" s="6">
        <v>98</v>
      </c>
      <c r="G639" s="6" t="s">
        <v>320</v>
      </c>
      <c r="H639" s="6" t="s">
        <v>321</v>
      </c>
      <c r="I639" s="6" t="s">
        <v>35</v>
      </c>
      <c r="J639" s="6" t="s">
        <v>20</v>
      </c>
      <c r="K639" s="7">
        <v>86.73</v>
      </c>
    </row>
    <row r="640" spans="1:11" s="4" customFormat="1" ht="10.199999999999999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7"/>
    </row>
    <row r="641" spans="1:11" s="4" customFormat="1" ht="10.199999999999999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7"/>
    </row>
    <row r="642" spans="1:11" s="4" customFormat="1" ht="10.199999999999999" x14ac:dyDescent="0.2">
      <c r="A642" s="6" t="str">
        <f>"0004710005"</f>
        <v>0004710005</v>
      </c>
      <c r="B642" s="6" t="str">
        <f>"049551"</f>
        <v>049551</v>
      </c>
      <c r="C642" s="6" t="s">
        <v>330</v>
      </c>
      <c r="D642" s="8">
        <v>0.05</v>
      </c>
      <c r="E642" s="6" t="s">
        <v>331</v>
      </c>
      <c r="F642" s="6" t="s">
        <v>332</v>
      </c>
      <c r="G642" s="6" t="s">
        <v>333</v>
      </c>
      <c r="H642" s="6" t="s">
        <v>334</v>
      </c>
      <c r="I642" s="6" t="s">
        <v>335</v>
      </c>
      <c r="J642" s="6" t="s">
        <v>17</v>
      </c>
      <c r="K642" s="7">
        <v>30.37</v>
      </c>
    </row>
    <row r="643" spans="1:11" s="4" customFormat="1" ht="10.199999999999999" x14ac:dyDescent="0.2">
      <c r="A643" s="6" t="str">
        <f>"0004710005"</f>
        <v>0004710005</v>
      </c>
      <c r="B643" s="6" t="str">
        <f>"124669"</f>
        <v>124669</v>
      </c>
      <c r="C643" s="6" t="s">
        <v>330</v>
      </c>
      <c r="D643" s="8">
        <v>0.05</v>
      </c>
      <c r="E643" s="6" t="s">
        <v>331</v>
      </c>
      <c r="F643" s="6" t="s">
        <v>332</v>
      </c>
      <c r="G643" s="6" t="s">
        <v>333</v>
      </c>
      <c r="H643" s="6" t="s">
        <v>334</v>
      </c>
      <c r="I643" s="6" t="s">
        <v>86</v>
      </c>
      <c r="J643" s="6" t="s">
        <v>87</v>
      </c>
      <c r="K643" s="7">
        <v>30.37</v>
      </c>
    </row>
    <row r="644" spans="1:11" s="4" customFormat="1" ht="10.199999999999999" x14ac:dyDescent="0.2">
      <c r="A644" s="6" t="str">
        <f>"0004710005"</f>
        <v>0004710005</v>
      </c>
      <c r="B644" s="6" t="str">
        <f>"113251"</f>
        <v>113251</v>
      </c>
      <c r="C644" s="6" t="s">
        <v>336</v>
      </c>
      <c r="D644" s="8">
        <v>0.05</v>
      </c>
      <c r="E644" s="6" t="s">
        <v>331</v>
      </c>
      <c r="F644" s="6" t="s">
        <v>332</v>
      </c>
      <c r="G644" s="6" t="s">
        <v>333</v>
      </c>
      <c r="H644" s="6" t="s">
        <v>334</v>
      </c>
      <c r="I644" s="6" t="s">
        <v>19</v>
      </c>
      <c r="J644" s="6" t="s">
        <v>20</v>
      </c>
      <c r="K644" s="7">
        <v>18.22</v>
      </c>
    </row>
    <row r="645" spans="1:11" s="4" customFormat="1" ht="10.199999999999999" x14ac:dyDescent="0.2">
      <c r="A645" s="6"/>
      <c r="B645" s="6"/>
      <c r="C645" s="6"/>
      <c r="D645" s="8"/>
      <c r="E645" s="6"/>
      <c r="F645" s="6"/>
      <c r="G645" s="6"/>
      <c r="H645" s="6"/>
      <c r="I645" s="6"/>
      <c r="J645" s="6"/>
      <c r="K645" s="7"/>
    </row>
    <row r="646" spans="1:11" s="4" customFormat="1" ht="10.199999999999999" x14ac:dyDescent="0.2">
      <c r="A646" s="6"/>
      <c r="B646" s="6"/>
      <c r="C646" s="6"/>
      <c r="D646" s="8"/>
      <c r="E646" s="6"/>
      <c r="F646" s="6"/>
      <c r="G646" s="6"/>
      <c r="H646" s="6"/>
      <c r="I646" s="6"/>
      <c r="J646" s="6"/>
      <c r="K646" s="7"/>
    </row>
    <row r="647" spans="1:11" s="4" customFormat="1" ht="10.199999999999999" x14ac:dyDescent="0.2">
      <c r="A647" s="6" t="str">
        <f>"0007070010"</f>
        <v>0007070010</v>
      </c>
      <c r="B647" s="6" t="str">
        <f>"081109"</f>
        <v>081109</v>
      </c>
      <c r="C647" s="6" t="s">
        <v>337</v>
      </c>
      <c r="D647" s="8">
        <v>0.05</v>
      </c>
      <c r="E647" s="6" t="s">
        <v>338</v>
      </c>
      <c r="F647" s="6" t="s">
        <v>339</v>
      </c>
      <c r="G647" s="6" t="s">
        <v>340</v>
      </c>
      <c r="H647" s="6" t="s">
        <v>341</v>
      </c>
      <c r="I647" s="6" t="s">
        <v>342</v>
      </c>
      <c r="J647" s="6" t="s">
        <v>17</v>
      </c>
      <c r="K647" s="7">
        <v>13.21</v>
      </c>
    </row>
    <row r="648" spans="1:11" s="4" customFormat="1" ht="10.199999999999999" x14ac:dyDescent="0.2">
      <c r="A648" s="6" t="str">
        <f>"0007070010"</f>
        <v>0007070010</v>
      </c>
      <c r="B648" s="6" t="str">
        <f>"029299"</f>
        <v>029299</v>
      </c>
      <c r="C648" s="6" t="s">
        <v>343</v>
      </c>
      <c r="D648" s="6" t="s">
        <v>344</v>
      </c>
      <c r="E648" s="6" t="s">
        <v>338</v>
      </c>
      <c r="F648" s="6" t="s">
        <v>339</v>
      </c>
      <c r="G648" s="6" t="s">
        <v>340</v>
      </c>
      <c r="H648" s="6" t="s">
        <v>341</v>
      </c>
      <c r="I648" s="6" t="s">
        <v>65</v>
      </c>
      <c r="J648" s="6" t="s">
        <v>20</v>
      </c>
      <c r="K648" s="7">
        <v>7.92</v>
      </c>
    </row>
    <row r="649" spans="1:11" s="4" customFormat="1" ht="10.199999999999999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7"/>
    </row>
    <row r="650" spans="1:11" s="4" customFormat="1" ht="10.199999999999999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7"/>
    </row>
    <row r="651" spans="1:11" s="4" customFormat="1" ht="10.199999999999999" x14ac:dyDescent="0.2">
      <c r="A651" s="6" t="str">
        <f>"0011230050"</f>
        <v>0011230050</v>
      </c>
      <c r="B651" s="6" t="str">
        <f>"116400"</f>
        <v>116400</v>
      </c>
      <c r="C651" s="6" t="s">
        <v>345</v>
      </c>
      <c r="D651" s="6" t="s">
        <v>346</v>
      </c>
      <c r="E651" s="6" t="s">
        <v>347</v>
      </c>
      <c r="F651" s="6" t="s">
        <v>348</v>
      </c>
      <c r="G651" s="6" t="s">
        <v>349</v>
      </c>
      <c r="H651" s="6" t="s">
        <v>350</v>
      </c>
      <c r="I651" s="6" t="s">
        <v>207</v>
      </c>
      <c r="J651" s="6" t="s">
        <v>17</v>
      </c>
      <c r="K651" s="7">
        <v>8.36</v>
      </c>
    </row>
    <row r="652" spans="1:11" s="4" customFormat="1" ht="10.199999999999999" x14ac:dyDescent="0.2">
      <c r="A652" s="6" t="str">
        <f>"0011230050"</f>
        <v>0011230050</v>
      </c>
      <c r="B652" s="6" t="str">
        <f>"076316"</f>
        <v>076316</v>
      </c>
      <c r="C652" s="6" t="s">
        <v>351</v>
      </c>
      <c r="D652" s="6" t="s">
        <v>352</v>
      </c>
      <c r="E652" s="6" t="s">
        <v>347</v>
      </c>
      <c r="F652" s="6" t="s">
        <v>348</v>
      </c>
      <c r="G652" s="6" t="s">
        <v>349</v>
      </c>
      <c r="H652" s="6" t="s">
        <v>350</v>
      </c>
      <c r="I652" s="6" t="s">
        <v>30</v>
      </c>
      <c r="J652" s="6" t="s">
        <v>20</v>
      </c>
      <c r="K652" s="7">
        <v>5.01</v>
      </c>
    </row>
    <row r="653" spans="1:11" s="4" customFormat="1" ht="10.199999999999999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7"/>
    </row>
    <row r="654" spans="1:11" s="4" customFormat="1" ht="10.199999999999999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7"/>
    </row>
    <row r="655" spans="1:11" s="4" customFormat="1" ht="10.199999999999999" x14ac:dyDescent="0.2">
      <c r="A655" s="6" t="str">
        <f>"0011230100"</f>
        <v>0011230100</v>
      </c>
      <c r="B655" s="6" t="str">
        <f>"116418"</f>
        <v>116418</v>
      </c>
      <c r="C655" s="6" t="s">
        <v>345</v>
      </c>
      <c r="D655" s="6" t="s">
        <v>346</v>
      </c>
      <c r="E655" s="6" t="s">
        <v>347</v>
      </c>
      <c r="F655" s="6" t="s">
        <v>353</v>
      </c>
      <c r="G655" s="6" t="s">
        <v>349</v>
      </c>
      <c r="H655" s="6" t="s">
        <v>350</v>
      </c>
      <c r="I655" s="6" t="s">
        <v>207</v>
      </c>
      <c r="J655" s="6" t="s">
        <v>17</v>
      </c>
      <c r="K655" s="7">
        <v>14.87</v>
      </c>
    </row>
    <row r="656" spans="1:11" s="4" customFormat="1" ht="10.199999999999999" x14ac:dyDescent="0.2">
      <c r="A656" s="6" t="str">
        <f>"0011230100"</f>
        <v>0011230100</v>
      </c>
      <c r="B656" s="6" t="str">
        <f>"076327"</f>
        <v>076327</v>
      </c>
      <c r="C656" s="6" t="s">
        <v>351</v>
      </c>
      <c r="D656" s="6" t="s">
        <v>352</v>
      </c>
      <c r="E656" s="6" t="s">
        <v>347</v>
      </c>
      <c r="F656" s="6" t="s">
        <v>353</v>
      </c>
      <c r="G656" s="6" t="s">
        <v>349</v>
      </c>
      <c r="H656" s="6" t="s">
        <v>350</v>
      </c>
      <c r="I656" s="6" t="s">
        <v>30</v>
      </c>
      <c r="J656" s="6" t="s">
        <v>20</v>
      </c>
      <c r="K656" s="7">
        <v>8.92</v>
      </c>
    </row>
    <row r="657" spans="1:11" s="4" customFormat="1" ht="10.199999999999999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7"/>
    </row>
    <row r="658" spans="1:11" s="4" customFormat="1" ht="10.199999999999999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7"/>
    </row>
    <row r="659" spans="1:11" s="4" customFormat="1" ht="10.199999999999999" x14ac:dyDescent="0.2">
      <c r="A659" s="6" t="str">
        <f>"0014090100"</f>
        <v>0014090100</v>
      </c>
      <c r="B659" s="6" t="str">
        <f>"000448"</f>
        <v>000448</v>
      </c>
      <c r="C659" s="6" t="s">
        <v>345</v>
      </c>
      <c r="D659" s="6" t="s">
        <v>346</v>
      </c>
      <c r="E659" s="6" t="s">
        <v>354</v>
      </c>
      <c r="F659" s="6" t="s">
        <v>355</v>
      </c>
      <c r="G659" s="6" t="s">
        <v>349</v>
      </c>
      <c r="H659" s="6" t="s">
        <v>350</v>
      </c>
      <c r="I659" s="6" t="s">
        <v>207</v>
      </c>
      <c r="J659" s="6" t="s">
        <v>17</v>
      </c>
      <c r="K659" s="7">
        <v>14.87</v>
      </c>
    </row>
    <row r="660" spans="1:11" s="4" customFormat="1" ht="10.199999999999999" x14ac:dyDescent="0.2">
      <c r="A660" s="6" t="str">
        <f>"0014090100"</f>
        <v>0014090100</v>
      </c>
      <c r="B660" s="6" t="str">
        <f>"402203"</f>
        <v>402203</v>
      </c>
      <c r="C660" s="6" t="s">
        <v>356</v>
      </c>
      <c r="D660" s="6" t="s">
        <v>352</v>
      </c>
      <c r="E660" s="6" t="s">
        <v>354</v>
      </c>
      <c r="F660" s="6" t="s">
        <v>355</v>
      </c>
      <c r="G660" s="6" t="s">
        <v>349</v>
      </c>
      <c r="H660" s="6" t="s">
        <v>350</v>
      </c>
      <c r="I660" s="6" t="s">
        <v>357</v>
      </c>
      <c r="J660" s="6" t="s">
        <v>20</v>
      </c>
      <c r="K660" s="7">
        <v>8.92</v>
      </c>
    </row>
    <row r="661" spans="1:11" s="4" customFormat="1" ht="10.199999999999999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7"/>
    </row>
    <row r="662" spans="1:11" s="4" customFormat="1" ht="10.199999999999999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7"/>
    </row>
    <row r="663" spans="1:11" s="4" customFormat="1" ht="10.199999999999999" x14ac:dyDescent="0.2">
      <c r="A663" s="6" t="str">
        <f>"0011490084"</f>
        <v>0011490084</v>
      </c>
      <c r="B663" s="6" t="str">
        <f>"061481"</f>
        <v>061481</v>
      </c>
      <c r="C663" s="6" t="s">
        <v>358</v>
      </c>
      <c r="D663" s="6" t="s">
        <v>157</v>
      </c>
      <c r="E663" s="6" t="s">
        <v>82</v>
      </c>
      <c r="F663" s="6" t="s">
        <v>359</v>
      </c>
      <c r="G663" s="6" t="s">
        <v>360</v>
      </c>
      <c r="H663" s="6" t="s">
        <v>361</v>
      </c>
      <c r="I663" s="6" t="s">
        <v>362</v>
      </c>
      <c r="J663" s="6" t="s">
        <v>17</v>
      </c>
      <c r="K663" s="7">
        <v>39.119999999999997</v>
      </c>
    </row>
    <row r="664" spans="1:11" s="4" customFormat="1" ht="10.199999999999999" x14ac:dyDescent="0.2">
      <c r="A664" s="6" t="str">
        <f>"0011490084"</f>
        <v>0011490084</v>
      </c>
      <c r="B664" s="6" t="str">
        <f>"094053"</f>
        <v>094053</v>
      </c>
      <c r="C664" s="6" t="s">
        <v>363</v>
      </c>
      <c r="D664" s="6" t="s">
        <v>157</v>
      </c>
      <c r="E664" s="6" t="s">
        <v>82</v>
      </c>
      <c r="F664" s="6" t="s">
        <v>359</v>
      </c>
      <c r="G664" s="6" t="s">
        <v>360</v>
      </c>
      <c r="H664" s="6" t="s">
        <v>361</v>
      </c>
      <c r="I664" s="6" t="s">
        <v>114</v>
      </c>
      <c r="J664" s="6" t="s">
        <v>20</v>
      </c>
      <c r="K664" s="7">
        <v>23.47</v>
      </c>
    </row>
    <row r="665" spans="1:11" s="4" customFormat="1" ht="10.199999999999999" x14ac:dyDescent="0.2">
      <c r="A665" s="6" t="str">
        <f>"0011490084"</f>
        <v>0011490084</v>
      </c>
      <c r="B665" s="6" t="str">
        <f>"481423"</f>
        <v>481423</v>
      </c>
      <c r="C665" s="6" t="s">
        <v>364</v>
      </c>
      <c r="D665" s="6" t="s">
        <v>157</v>
      </c>
      <c r="E665" s="6" t="s">
        <v>82</v>
      </c>
      <c r="F665" s="6" t="s">
        <v>359</v>
      </c>
      <c r="G665" s="6" t="s">
        <v>360</v>
      </c>
      <c r="H665" s="6" t="s">
        <v>361</v>
      </c>
      <c r="I665" s="6" t="s">
        <v>37</v>
      </c>
      <c r="J665" s="6" t="s">
        <v>20</v>
      </c>
      <c r="K665" s="7">
        <v>23.47</v>
      </c>
    </row>
    <row r="666" spans="1:11" s="4" customFormat="1" ht="10.199999999999999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7"/>
    </row>
    <row r="667" spans="1:11" s="4" customFormat="1" ht="10.199999999999999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7"/>
    </row>
    <row r="668" spans="1:11" s="4" customFormat="1" ht="20.399999999999999" x14ac:dyDescent="0.2">
      <c r="A668" s="6" t="str">
        <f>"0011430084"</f>
        <v>0011430084</v>
      </c>
      <c r="B668" s="6" t="str">
        <f>"540229"</f>
        <v>540229</v>
      </c>
      <c r="C668" s="6" t="s">
        <v>365</v>
      </c>
      <c r="D668" s="6"/>
      <c r="E668" s="6" t="s">
        <v>13</v>
      </c>
      <c r="F668" s="6" t="s">
        <v>359</v>
      </c>
      <c r="G668" s="6" t="s">
        <v>366</v>
      </c>
      <c r="H668" s="6" t="s">
        <v>367</v>
      </c>
      <c r="I668" s="6" t="s">
        <v>99</v>
      </c>
      <c r="J668" s="6" t="s">
        <v>17</v>
      </c>
      <c r="K668" s="7">
        <v>17.579999999999998</v>
      </c>
    </row>
    <row r="669" spans="1:11" s="4" customFormat="1" ht="20.399999999999999" x14ac:dyDescent="0.2">
      <c r="A669" s="6" t="str">
        <f>"0011430084"</f>
        <v>0011430084</v>
      </c>
      <c r="B669" s="6" t="str">
        <f>"095906"</f>
        <v>095906</v>
      </c>
      <c r="C669" s="6" t="s">
        <v>368</v>
      </c>
      <c r="D669" s="6" t="s">
        <v>369</v>
      </c>
      <c r="E669" s="6" t="s">
        <v>82</v>
      </c>
      <c r="F669" s="6">
        <v>84</v>
      </c>
      <c r="G669" s="6" t="s">
        <v>366</v>
      </c>
      <c r="H669" s="6" t="s">
        <v>367</v>
      </c>
      <c r="I669" s="6" t="s">
        <v>370</v>
      </c>
      <c r="J669" s="6" t="s">
        <v>20</v>
      </c>
      <c r="K669" s="7">
        <v>10.55</v>
      </c>
    </row>
    <row r="670" spans="1:11" s="4" customFormat="1" ht="10.199999999999999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7"/>
    </row>
    <row r="671" spans="1:11" s="4" customFormat="1" ht="10.199999999999999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7"/>
    </row>
    <row r="672" spans="1:11" s="4" customFormat="1" ht="10.199999999999999" x14ac:dyDescent="0.2">
      <c r="A672" s="6" t="str">
        <f t="shared" ref="A672:A677" si="22">"0013360030"</f>
        <v>0013360030</v>
      </c>
      <c r="B672" s="6" t="str">
        <f>"002531"</f>
        <v>002531</v>
      </c>
      <c r="C672" s="6" t="s">
        <v>371</v>
      </c>
      <c r="D672" s="6" t="s">
        <v>59</v>
      </c>
      <c r="E672" s="6" t="s">
        <v>372</v>
      </c>
      <c r="F672" s="6">
        <v>30</v>
      </c>
      <c r="G672" s="6" t="s">
        <v>373</v>
      </c>
      <c r="H672" s="6" t="s">
        <v>374</v>
      </c>
      <c r="I672" s="6" t="s">
        <v>375</v>
      </c>
      <c r="J672" s="6" t="s">
        <v>17</v>
      </c>
      <c r="K672" s="7">
        <v>31.77</v>
      </c>
    </row>
    <row r="673" spans="1:11" s="4" customFormat="1" ht="10.199999999999999" x14ac:dyDescent="0.2">
      <c r="A673" s="6" t="str">
        <f t="shared" si="22"/>
        <v>0013360030</v>
      </c>
      <c r="B673" s="6" t="str">
        <f>"066082"</f>
        <v>066082</v>
      </c>
      <c r="C673" s="6" t="s">
        <v>376</v>
      </c>
      <c r="D673" s="6" t="s">
        <v>59</v>
      </c>
      <c r="E673" s="6" t="s">
        <v>372</v>
      </c>
      <c r="F673" s="6">
        <v>30</v>
      </c>
      <c r="G673" s="6" t="s">
        <v>373</v>
      </c>
      <c r="H673" s="6" t="s">
        <v>374</v>
      </c>
      <c r="I673" s="6" t="s">
        <v>35</v>
      </c>
      <c r="J673" s="6" t="s">
        <v>20</v>
      </c>
      <c r="K673" s="7">
        <v>19.059999999999999</v>
      </c>
    </row>
    <row r="674" spans="1:11" s="4" customFormat="1" ht="10.199999999999999" x14ac:dyDescent="0.2">
      <c r="A674" s="6" t="str">
        <f t="shared" si="22"/>
        <v>0013360030</v>
      </c>
      <c r="B674" s="6" t="str">
        <f>"170489"</f>
        <v>170489</v>
      </c>
      <c r="C674" s="6" t="s">
        <v>377</v>
      </c>
      <c r="D674" s="6" t="s">
        <v>59</v>
      </c>
      <c r="E674" s="6" t="s">
        <v>372</v>
      </c>
      <c r="F674" s="6">
        <v>28</v>
      </c>
      <c r="G674" s="6" t="s">
        <v>373</v>
      </c>
      <c r="H674" s="6" t="s">
        <v>374</v>
      </c>
      <c r="I674" s="6" t="s">
        <v>37</v>
      </c>
      <c r="J674" s="6" t="s">
        <v>20</v>
      </c>
      <c r="K674" s="7">
        <v>17.79</v>
      </c>
    </row>
    <row r="675" spans="1:11" s="4" customFormat="1" ht="10.199999999999999" x14ac:dyDescent="0.2">
      <c r="A675" s="6" t="str">
        <f t="shared" si="22"/>
        <v>0013360030</v>
      </c>
      <c r="B675" s="6" t="str">
        <f>"409855"</f>
        <v>409855</v>
      </c>
      <c r="C675" s="6" t="s">
        <v>378</v>
      </c>
      <c r="D675" s="6" t="s">
        <v>59</v>
      </c>
      <c r="E675" s="6" t="s">
        <v>372</v>
      </c>
      <c r="F675" s="6">
        <v>28</v>
      </c>
      <c r="G675" s="6" t="s">
        <v>373</v>
      </c>
      <c r="H675" s="6" t="s">
        <v>374</v>
      </c>
      <c r="I675" s="6" t="s">
        <v>30</v>
      </c>
      <c r="J675" s="6" t="s">
        <v>20</v>
      </c>
      <c r="K675" s="7">
        <v>17.79</v>
      </c>
    </row>
    <row r="676" spans="1:11" s="4" customFormat="1" ht="10.199999999999999" x14ac:dyDescent="0.2">
      <c r="A676" s="6" t="str">
        <f t="shared" si="22"/>
        <v>0013360030</v>
      </c>
      <c r="B676" s="6" t="str">
        <f>"420868"</f>
        <v>420868</v>
      </c>
      <c r="C676" s="6" t="s">
        <v>379</v>
      </c>
      <c r="D676" s="6" t="s">
        <v>59</v>
      </c>
      <c r="E676" s="6" t="s">
        <v>372</v>
      </c>
      <c r="F676" s="6">
        <v>28</v>
      </c>
      <c r="G676" s="6" t="s">
        <v>373</v>
      </c>
      <c r="H676" s="6" t="s">
        <v>374</v>
      </c>
      <c r="I676" s="6" t="s">
        <v>375</v>
      </c>
      <c r="J676" s="6" t="s">
        <v>20</v>
      </c>
      <c r="K676" s="7">
        <v>17.79</v>
      </c>
    </row>
    <row r="677" spans="1:11" s="4" customFormat="1" ht="10.199999999999999" x14ac:dyDescent="0.2">
      <c r="A677" s="6" t="str">
        <f t="shared" si="22"/>
        <v>0013360030</v>
      </c>
      <c r="B677" s="6" t="str">
        <f>"561986"</f>
        <v>561986</v>
      </c>
      <c r="C677" s="6" t="s">
        <v>380</v>
      </c>
      <c r="D677" s="6" t="s">
        <v>59</v>
      </c>
      <c r="E677" s="6" t="s">
        <v>372</v>
      </c>
      <c r="F677" s="6">
        <v>28</v>
      </c>
      <c r="G677" s="6" t="s">
        <v>373</v>
      </c>
      <c r="H677" s="6" t="s">
        <v>374</v>
      </c>
      <c r="I677" s="6" t="s">
        <v>19</v>
      </c>
      <c r="J677" s="6" t="s">
        <v>20</v>
      </c>
      <c r="K677" s="7">
        <v>17.79</v>
      </c>
    </row>
    <row r="678" spans="1:11" s="4" customFormat="1" ht="10.199999999999999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7"/>
    </row>
    <row r="679" spans="1:11" s="4" customFormat="1" ht="10.199999999999999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7"/>
    </row>
    <row r="680" spans="1:11" s="4" customFormat="1" ht="10.199999999999999" x14ac:dyDescent="0.2">
      <c r="A680" s="6" t="str">
        <f t="shared" ref="A680:A685" si="23">"0013360100"</f>
        <v>0013360100</v>
      </c>
      <c r="B680" s="6" t="str">
        <f>"004891"</f>
        <v>004891</v>
      </c>
      <c r="C680" s="6" t="s">
        <v>371</v>
      </c>
      <c r="D680" s="6" t="s">
        <v>59</v>
      </c>
      <c r="E680" s="6" t="s">
        <v>372</v>
      </c>
      <c r="F680" s="6">
        <v>100</v>
      </c>
      <c r="G680" s="6" t="s">
        <v>373</v>
      </c>
      <c r="H680" s="6" t="s">
        <v>374</v>
      </c>
      <c r="I680" s="6" t="s">
        <v>375</v>
      </c>
      <c r="J680" s="6" t="s">
        <v>17</v>
      </c>
      <c r="K680" s="7">
        <v>105.05</v>
      </c>
    </row>
    <row r="681" spans="1:11" s="4" customFormat="1" ht="10.199999999999999" x14ac:dyDescent="0.2">
      <c r="A681" s="6" t="str">
        <f t="shared" si="23"/>
        <v>0013360100</v>
      </c>
      <c r="B681" s="6" t="str">
        <f>"148158"</f>
        <v>148158</v>
      </c>
      <c r="C681" s="6" t="s">
        <v>376</v>
      </c>
      <c r="D681" s="6" t="s">
        <v>59</v>
      </c>
      <c r="E681" s="6" t="s">
        <v>372</v>
      </c>
      <c r="F681" s="6">
        <v>100</v>
      </c>
      <c r="G681" s="6" t="s">
        <v>373</v>
      </c>
      <c r="H681" s="6" t="s">
        <v>374</v>
      </c>
      <c r="I681" s="6" t="s">
        <v>35</v>
      </c>
      <c r="J681" s="6" t="s">
        <v>20</v>
      </c>
      <c r="K681" s="7">
        <v>63.03</v>
      </c>
    </row>
    <row r="682" spans="1:11" s="4" customFormat="1" ht="10.199999999999999" x14ac:dyDescent="0.2">
      <c r="A682" s="6" t="str">
        <f t="shared" si="23"/>
        <v>0013360100</v>
      </c>
      <c r="B682" s="6" t="str">
        <f>"464695"</f>
        <v>464695</v>
      </c>
      <c r="C682" s="6" t="s">
        <v>379</v>
      </c>
      <c r="D682" s="6" t="s">
        <v>59</v>
      </c>
      <c r="E682" s="6" t="s">
        <v>372</v>
      </c>
      <c r="F682" s="6">
        <v>100</v>
      </c>
      <c r="G682" s="6" t="s">
        <v>373</v>
      </c>
      <c r="H682" s="6" t="s">
        <v>374</v>
      </c>
      <c r="I682" s="6" t="s">
        <v>375</v>
      </c>
      <c r="J682" s="6" t="s">
        <v>20</v>
      </c>
      <c r="K682" s="7">
        <v>63.03</v>
      </c>
    </row>
    <row r="683" spans="1:11" s="4" customFormat="1" ht="10.199999999999999" x14ac:dyDescent="0.2">
      <c r="A683" s="6" t="str">
        <f t="shared" si="23"/>
        <v>0013360100</v>
      </c>
      <c r="B683" s="6" t="str">
        <f>"524198"</f>
        <v>524198</v>
      </c>
      <c r="C683" s="6" t="s">
        <v>380</v>
      </c>
      <c r="D683" s="6" t="s">
        <v>59</v>
      </c>
      <c r="E683" s="6" t="s">
        <v>372</v>
      </c>
      <c r="F683" s="6">
        <v>100</v>
      </c>
      <c r="G683" s="6" t="s">
        <v>373</v>
      </c>
      <c r="H683" s="6" t="s">
        <v>374</v>
      </c>
      <c r="I683" s="6" t="s">
        <v>19</v>
      </c>
      <c r="J683" s="6" t="s">
        <v>20</v>
      </c>
      <c r="K683" s="7">
        <v>63.03</v>
      </c>
    </row>
    <row r="684" spans="1:11" s="4" customFormat="1" ht="10.199999999999999" x14ac:dyDescent="0.2">
      <c r="A684" s="6" t="str">
        <f t="shared" si="23"/>
        <v>0013360100</v>
      </c>
      <c r="B684" s="6" t="str">
        <f>"069707"</f>
        <v>069707</v>
      </c>
      <c r="C684" s="6" t="s">
        <v>377</v>
      </c>
      <c r="D684" s="6" t="s">
        <v>59</v>
      </c>
      <c r="E684" s="6" t="s">
        <v>372</v>
      </c>
      <c r="F684" s="6">
        <v>98</v>
      </c>
      <c r="G684" s="6" t="s">
        <v>373</v>
      </c>
      <c r="H684" s="6" t="s">
        <v>374</v>
      </c>
      <c r="I684" s="6" t="s">
        <v>37</v>
      </c>
      <c r="J684" s="6" t="s">
        <v>20</v>
      </c>
      <c r="K684" s="7">
        <v>61.77</v>
      </c>
    </row>
    <row r="685" spans="1:11" s="4" customFormat="1" ht="10.199999999999999" x14ac:dyDescent="0.2">
      <c r="A685" s="6" t="str">
        <f t="shared" si="23"/>
        <v>0013360100</v>
      </c>
      <c r="B685" s="6" t="str">
        <f>"441678"</f>
        <v>441678</v>
      </c>
      <c r="C685" s="6" t="s">
        <v>378</v>
      </c>
      <c r="D685" s="6" t="s">
        <v>59</v>
      </c>
      <c r="E685" s="6" t="s">
        <v>372</v>
      </c>
      <c r="F685" s="6">
        <v>98</v>
      </c>
      <c r="G685" s="6" t="s">
        <v>373</v>
      </c>
      <c r="H685" s="6" t="s">
        <v>374</v>
      </c>
      <c r="I685" s="6" t="s">
        <v>30</v>
      </c>
      <c r="J685" s="6" t="s">
        <v>20</v>
      </c>
      <c r="K685" s="7">
        <v>61.77</v>
      </c>
    </row>
    <row r="686" spans="1:11" s="4" customFormat="1" ht="10.199999999999999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7"/>
    </row>
    <row r="687" spans="1:11" s="4" customFormat="1" ht="10.199999999999999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7"/>
    </row>
    <row r="688" spans="1:11" s="4" customFormat="1" ht="10.199999999999999" x14ac:dyDescent="0.2">
      <c r="A688" s="6" t="str">
        <f>"0007390060"</f>
        <v>0007390060</v>
      </c>
      <c r="B688" s="6" t="str">
        <f>"009049"</f>
        <v>009049</v>
      </c>
      <c r="C688" s="6" t="s">
        <v>381</v>
      </c>
      <c r="D688" s="6" t="s">
        <v>22</v>
      </c>
      <c r="E688" s="6" t="s">
        <v>382</v>
      </c>
      <c r="F688" s="6">
        <v>60</v>
      </c>
      <c r="G688" s="6" t="s">
        <v>383</v>
      </c>
      <c r="H688" s="6" t="s">
        <v>384</v>
      </c>
      <c r="I688" s="6" t="s">
        <v>385</v>
      </c>
      <c r="J688" s="6" t="s">
        <v>17</v>
      </c>
      <c r="K688" s="7">
        <v>26.09</v>
      </c>
    </row>
    <row r="689" spans="1:11" s="4" customFormat="1" ht="10.199999999999999" x14ac:dyDescent="0.2">
      <c r="A689" s="6" t="str">
        <f>"0007390060"</f>
        <v>0007390060</v>
      </c>
      <c r="B689" s="6" t="str">
        <f>"111560"</f>
        <v>111560</v>
      </c>
      <c r="C689" s="6" t="s">
        <v>381</v>
      </c>
      <c r="D689" s="6" t="s">
        <v>22</v>
      </c>
      <c r="E689" s="6" t="s">
        <v>382</v>
      </c>
      <c r="F689" s="6">
        <v>60</v>
      </c>
      <c r="G689" s="6" t="s">
        <v>383</v>
      </c>
      <c r="H689" s="6" t="s">
        <v>384</v>
      </c>
      <c r="I689" s="6" t="s">
        <v>86</v>
      </c>
      <c r="J689" s="6" t="s">
        <v>87</v>
      </c>
      <c r="K689" s="7">
        <v>26.09</v>
      </c>
    </row>
    <row r="690" spans="1:11" s="4" customFormat="1" ht="10.199999999999999" x14ac:dyDescent="0.2">
      <c r="A690" s="6" t="str">
        <f>"0007390060"</f>
        <v>0007390060</v>
      </c>
      <c r="B690" s="6" t="str">
        <f>"044976"</f>
        <v>044976</v>
      </c>
      <c r="C690" s="6" t="s">
        <v>386</v>
      </c>
      <c r="D690" s="6" t="s">
        <v>22</v>
      </c>
      <c r="E690" s="6" t="s">
        <v>13</v>
      </c>
      <c r="F690" s="6">
        <v>60</v>
      </c>
      <c r="G690" s="6" t="s">
        <v>383</v>
      </c>
      <c r="H690" s="6" t="s">
        <v>384</v>
      </c>
      <c r="I690" s="6" t="s">
        <v>387</v>
      </c>
      <c r="J690" s="6" t="s">
        <v>20</v>
      </c>
      <c r="K690" s="7">
        <v>15.64</v>
      </c>
    </row>
    <row r="691" spans="1:11" s="4" customFormat="1" ht="10.199999999999999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7"/>
    </row>
    <row r="692" spans="1:11" s="4" customFormat="1" ht="10.199999999999999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7"/>
    </row>
    <row r="693" spans="1:11" s="4" customFormat="1" ht="10.199999999999999" x14ac:dyDescent="0.2">
      <c r="A693" s="6" t="str">
        <f t="shared" ref="A693:A705" si="24">"0009200012"</f>
        <v>0009200012</v>
      </c>
      <c r="B693" s="6" t="str">
        <f>"520379"</f>
        <v>520379</v>
      </c>
      <c r="C693" s="6" t="s">
        <v>388</v>
      </c>
      <c r="D693" s="6" t="s">
        <v>230</v>
      </c>
      <c r="E693" s="6" t="s">
        <v>13</v>
      </c>
      <c r="F693" s="6">
        <v>12</v>
      </c>
      <c r="G693" s="6" t="s">
        <v>389</v>
      </c>
      <c r="H693" s="6" t="s">
        <v>390</v>
      </c>
      <c r="I693" s="6" t="s">
        <v>391</v>
      </c>
      <c r="J693" s="6" t="s">
        <v>17</v>
      </c>
      <c r="K693" s="7">
        <v>91.39</v>
      </c>
    </row>
    <row r="694" spans="1:11" s="4" customFormat="1" ht="10.199999999999999" x14ac:dyDescent="0.2">
      <c r="A694" s="6" t="str">
        <f t="shared" si="24"/>
        <v>0009200012</v>
      </c>
      <c r="B694" s="6" t="str">
        <f>"061644"</f>
        <v>061644</v>
      </c>
      <c r="C694" s="6" t="s">
        <v>392</v>
      </c>
      <c r="D694" s="6" t="s">
        <v>230</v>
      </c>
      <c r="E694" s="6" t="s">
        <v>13</v>
      </c>
      <c r="F694" s="6">
        <v>12</v>
      </c>
      <c r="G694" s="6" t="s">
        <v>389</v>
      </c>
      <c r="H694" s="6" t="s">
        <v>390</v>
      </c>
      <c r="I694" s="6" t="s">
        <v>45</v>
      </c>
      <c r="J694" s="6" t="s">
        <v>20</v>
      </c>
      <c r="K694" s="7">
        <v>54.83</v>
      </c>
    </row>
    <row r="695" spans="1:11" s="4" customFormat="1" ht="10.199999999999999" x14ac:dyDescent="0.2">
      <c r="A695" s="6" t="str">
        <f t="shared" si="24"/>
        <v>0009200012</v>
      </c>
      <c r="B695" s="6" t="str">
        <f>"064520"</f>
        <v>064520</v>
      </c>
      <c r="C695" s="6" t="s">
        <v>393</v>
      </c>
      <c r="D695" s="6" t="s">
        <v>230</v>
      </c>
      <c r="E695" s="6" t="s">
        <v>13</v>
      </c>
      <c r="F695" s="6">
        <v>12</v>
      </c>
      <c r="G695" s="6" t="s">
        <v>389</v>
      </c>
      <c r="H695" s="6" t="s">
        <v>390</v>
      </c>
      <c r="I695" s="6" t="s">
        <v>35</v>
      </c>
      <c r="J695" s="6" t="s">
        <v>20</v>
      </c>
      <c r="K695" s="7">
        <v>54.83</v>
      </c>
    </row>
    <row r="696" spans="1:11" s="4" customFormat="1" ht="10.199999999999999" x14ac:dyDescent="0.2">
      <c r="A696" s="6" t="str">
        <f t="shared" si="24"/>
        <v>0009200012</v>
      </c>
      <c r="B696" s="6" t="str">
        <f>"076293"</f>
        <v>076293</v>
      </c>
      <c r="C696" s="6" t="s">
        <v>394</v>
      </c>
      <c r="D696" s="6" t="s">
        <v>230</v>
      </c>
      <c r="E696" s="6" t="s">
        <v>13</v>
      </c>
      <c r="F696" s="6">
        <v>12</v>
      </c>
      <c r="G696" s="6" t="s">
        <v>389</v>
      </c>
      <c r="H696" s="6" t="s">
        <v>390</v>
      </c>
      <c r="I696" s="6" t="s">
        <v>103</v>
      </c>
      <c r="J696" s="6" t="s">
        <v>20</v>
      </c>
      <c r="K696" s="7">
        <v>54.83</v>
      </c>
    </row>
    <row r="697" spans="1:11" s="4" customFormat="1" ht="10.199999999999999" x14ac:dyDescent="0.2">
      <c r="A697" s="6" t="str">
        <f t="shared" si="24"/>
        <v>0009200012</v>
      </c>
      <c r="B697" s="6" t="str">
        <f>"081931"</f>
        <v>081931</v>
      </c>
      <c r="C697" s="6" t="s">
        <v>395</v>
      </c>
      <c r="D697" s="6" t="s">
        <v>230</v>
      </c>
      <c r="E697" s="6" t="s">
        <v>13</v>
      </c>
      <c r="F697" s="6">
        <v>12</v>
      </c>
      <c r="G697" s="6" t="s">
        <v>389</v>
      </c>
      <c r="H697" s="6" t="s">
        <v>390</v>
      </c>
      <c r="I697" s="6" t="s">
        <v>19</v>
      </c>
      <c r="J697" s="6" t="s">
        <v>20</v>
      </c>
      <c r="K697" s="7">
        <v>54.83</v>
      </c>
    </row>
    <row r="698" spans="1:11" s="4" customFormat="1" ht="10.199999999999999" x14ac:dyDescent="0.2">
      <c r="A698" s="6" t="str">
        <f t="shared" si="24"/>
        <v>0009200012</v>
      </c>
      <c r="B698" s="6" t="str">
        <f>"082465"</f>
        <v>082465</v>
      </c>
      <c r="C698" s="6" t="s">
        <v>396</v>
      </c>
      <c r="D698" s="6" t="s">
        <v>230</v>
      </c>
      <c r="E698" s="6" t="s">
        <v>82</v>
      </c>
      <c r="F698" s="6">
        <v>12</v>
      </c>
      <c r="G698" s="6" t="s">
        <v>389</v>
      </c>
      <c r="H698" s="6" t="s">
        <v>390</v>
      </c>
      <c r="I698" s="6" t="s">
        <v>37</v>
      </c>
      <c r="J698" s="6" t="s">
        <v>20</v>
      </c>
      <c r="K698" s="7">
        <v>54.83</v>
      </c>
    </row>
    <row r="699" spans="1:11" s="4" customFormat="1" ht="10.199999999999999" x14ac:dyDescent="0.2">
      <c r="A699" s="6" t="str">
        <f t="shared" si="24"/>
        <v>0009200012</v>
      </c>
      <c r="B699" s="6" t="str">
        <f>"101608"</f>
        <v>101608</v>
      </c>
      <c r="C699" s="6" t="s">
        <v>397</v>
      </c>
      <c r="D699" s="6" t="s">
        <v>230</v>
      </c>
      <c r="E699" s="6" t="s">
        <v>13</v>
      </c>
      <c r="F699" s="6">
        <v>12</v>
      </c>
      <c r="G699" s="6" t="s">
        <v>389</v>
      </c>
      <c r="H699" s="6" t="s">
        <v>390</v>
      </c>
      <c r="I699" s="6" t="s">
        <v>114</v>
      </c>
      <c r="J699" s="6" t="s">
        <v>20</v>
      </c>
      <c r="K699" s="7">
        <v>54.83</v>
      </c>
    </row>
    <row r="700" spans="1:11" s="4" customFormat="1" ht="10.199999999999999" x14ac:dyDescent="0.2">
      <c r="A700" s="6" t="str">
        <f t="shared" si="24"/>
        <v>0009200012</v>
      </c>
      <c r="B700" s="6" t="str">
        <f>"139761"</f>
        <v>139761</v>
      </c>
      <c r="C700" s="6" t="s">
        <v>398</v>
      </c>
      <c r="D700" s="6" t="s">
        <v>230</v>
      </c>
      <c r="E700" s="6" t="s">
        <v>399</v>
      </c>
      <c r="F700" s="6">
        <v>12</v>
      </c>
      <c r="G700" s="6" t="s">
        <v>389</v>
      </c>
      <c r="H700" s="6" t="s">
        <v>390</v>
      </c>
      <c r="I700" s="6" t="s">
        <v>211</v>
      </c>
      <c r="J700" s="6" t="s">
        <v>20</v>
      </c>
      <c r="K700" s="7">
        <v>54.83</v>
      </c>
    </row>
    <row r="701" spans="1:11" s="4" customFormat="1" ht="10.199999999999999" x14ac:dyDescent="0.2">
      <c r="A701" s="6" t="str">
        <f t="shared" si="24"/>
        <v>0009200012</v>
      </c>
      <c r="B701" s="6" t="str">
        <f>"166989"</f>
        <v>166989</v>
      </c>
      <c r="C701" s="6" t="s">
        <v>398</v>
      </c>
      <c r="D701" s="6" t="s">
        <v>230</v>
      </c>
      <c r="E701" s="6" t="s">
        <v>13</v>
      </c>
      <c r="F701" s="6">
        <v>12</v>
      </c>
      <c r="G701" s="6" t="s">
        <v>389</v>
      </c>
      <c r="H701" s="6" t="s">
        <v>390</v>
      </c>
      <c r="I701" s="6" t="s">
        <v>211</v>
      </c>
      <c r="J701" s="6" t="s">
        <v>20</v>
      </c>
      <c r="K701" s="7">
        <v>54.83</v>
      </c>
    </row>
    <row r="702" spans="1:11" s="4" customFormat="1" ht="10.199999999999999" x14ac:dyDescent="0.2">
      <c r="A702" s="6" t="str">
        <f t="shared" si="24"/>
        <v>0009200012</v>
      </c>
      <c r="B702" s="6" t="str">
        <f>"417820"</f>
        <v>417820</v>
      </c>
      <c r="C702" s="6" t="s">
        <v>400</v>
      </c>
      <c r="D702" s="6" t="s">
        <v>230</v>
      </c>
      <c r="E702" s="6" t="s">
        <v>13</v>
      </c>
      <c r="F702" s="6">
        <v>12</v>
      </c>
      <c r="G702" s="6" t="s">
        <v>389</v>
      </c>
      <c r="H702" s="6" t="s">
        <v>390</v>
      </c>
      <c r="I702" s="6" t="s">
        <v>90</v>
      </c>
      <c r="J702" s="6" t="s">
        <v>20</v>
      </c>
      <c r="K702" s="7">
        <v>54.83</v>
      </c>
    </row>
    <row r="703" spans="1:11" s="4" customFormat="1" ht="10.199999999999999" x14ac:dyDescent="0.2">
      <c r="A703" s="6" t="str">
        <f t="shared" si="24"/>
        <v>0009200012</v>
      </c>
      <c r="B703" s="6" t="str">
        <f>"463481"</f>
        <v>463481</v>
      </c>
      <c r="C703" s="6" t="s">
        <v>401</v>
      </c>
      <c r="D703" s="6" t="s">
        <v>230</v>
      </c>
      <c r="E703" s="6" t="s">
        <v>13</v>
      </c>
      <c r="F703" s="6">
        <v>12</v>
      </c>
      <c r="G703" s="6" t="s">
        <v>389</v>
      </c>
      <c r="H703" s="6" t="s">
        <v>390</v>
      </c>
      <c r="I703" s="6" t="s">
        <v>375</v>
      </c>
      <c r="J703" s="6" t="s">
        <v>20</v>
      </c>
      <c r="K703" s="7">
        <v>54.83</v>
      </c>
    </row>
    <row r="704" spans="1:11" s="4" customFormat="1" ht="10.199999999999999" x14ac:dyDescent="0.2">
      <c r="A704" s="6" t="str">
        <f t="shared" si="24"/>
        <v>0009200012</v>
      </c>
      <c r="B704" s="6" t="str">
        <f>"497824"</f>
        <v>497824</v>
      </c>
      <c r="C704" s="6" t="s">
        <v>394</v>
      </c>
      <c r="D704" s="6" t="s">
        <v>230</v>
      </c>
      <c r="E704" s="6" t="s">
        <v>68</v>
      </c>
      <c r="F704" s="6" t="s">
        <v>402</v>
      </c>
      <c r="G704" s="6" t="s">
        <v>389</v>
      </c>
      <c r="H704" s="6" t="s">
        <v>390</v>
      </c>
      <c r="I704" s="6" t="s">
        <v>103</v>
      </c>
      <c r="J704" s="6" t="s">
        <v>20</v>
      </c>
      <c r="K704" s="7">
        <v>54.83</v>
      </c>
    </row>
    <row r="705" spans="1:11" s="4" customFormat="1" ht="10.199999999999999" x14ac:dyDescent="0.2">
      <c r="A705" s="6" t="str">
        <f t="shared" si="24"/>
        <v>0009200012</v>
      </c>
      <c r="B705" s="6" t="str">
        <f>"587110"</f>
        <v>587110</v>
      </c>
      <c r="C705" s="6" t="s">
        <v>403</v>
      </c>
      <c r="D705" s="6" t="s">
        <v>230</v>
      </c>
      <c r="E705" s="6" t="s">
        <v>13</v>
      </c>
      <c r="F705" s="6">
        <v>12</v>
      </c>
      <c r="G705" s="6" t="s">
        <v>389</v>
      </c>
      <c r="H705" s="6" t="s">
        <v>390</v>
      </c>
      <c r="I705" s="6" t="s">
        <v>65</v>
      </c>
      <c r="J705" s="6" t="s">
        <v>20</v>
      </c>
      <c r="K705" s="7">
        <v>54.83</v>
      </c>
    </row>
    <row r="706" spans="1:11" s="4" customFormat="1" ht="10.199999999999999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7"/>
    </row>
    <row r="707" spans="1:11" s="4" customFormat="1" ht="10.199999999999999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7"/>
    </row>
    <row r="708" spans="1:11" s="4" customFormat="1" ht="10.199999999999999" x14ac:dyDescent="0.2">
      <c r="A708" s="6" t="str">
        <f>"0012240030"</f>
        <v>0012240030</v>
      </c>
      <c r="B708" s="6" t="str">
        <f>"020238"</f>
        <v>020238</v>
      </c>
      <c r="C708" s="6" t="s">
        <v>404</v>
      </c>
      <c r="D708" s="6" t="s">
        <v>132</v>
      </c>
      <c r="E708" s="6" t="s">
        <v>135</v>
      </c>
      <c r="F708" s="6">
        <v>30</v>
      </c>
      <c r="G708" s="6" t="s">
        <v>405</v>
      </c>
      <c r="H708" s="6" t="s">
        <v>406</v>
      </c>
      <c r="I708" s="6" t="s">
        <v>407</v>
      </c>
      <c r="J708" s="6" t="s">
        <v>17</v>
      </c>
      <c r="K708" s="7">
        <v>22.05</v>
      </c>
    </row>
    <row r="709" spans="1:11" s="4" customFormat="1" ht="10.199999999999999" x14ac:dyDescent="0.2">
      <c r="A709" s="6" t="str">
        <f>"0012240030"</f>
        <v>0012240030</v>
      </c>
      <c r="B709" s="6" t="str">
        <f>"573235"</f>
        <v>573235</v>
      </c>
      <c r="C709" s="6" t="s">
        <v>408</v>
      </c>
      <c r="D709" s="6" t="s">
        <v>132</v>
      </c>
      <c r="E709" s="6" t="s">
        <v>135</v>
      </c>
      <c r="F709" s="6">
        <v>30</v>
      </c>
      <c r="G709" s="6" t="s">
        <v>405</v>
      </c>
      <c r="H709" s="6" t="s">
        <v>406</v>
      </c>
      <c r="I709" s="6" t="s">
        <v>409</v>
      </c>
      <c r="J709" s="6" t="s">
        <v>20</v>
      </c>
      <c r="K709" s="7">
        <v>13.23</v>
      </c>
    </row>
    <row r="710" spans="1:11" s="4" customFormat="1" ht="10.199999999999999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7"/>
    </row>
    <row r="711" spans="1:11" s="4" customFormat="1" ht="10.199999999999999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7"/>
    </row>
    <row r="712" spans="1:11" s="4" customFormat="1" ht="10.199999999999999" x14ac:dyDescent="0.2">
      <c r="A712" s="6" t="str">
        <f>"0012240090"</f>
        <v>0012240090</v>
      </c>
      <c r="B712" s="6" t="str">
        <f>"020338"</f>
        <v>020338</v>
      </c>
      <c r="C712" s="6" t="s">
        <v>404</v>
      </c>
      <c r="D712" s="6" t="s">
        <v>132</v>
      </c>
      <c r="E712" s="6" t="s">
        <v>135</v>
      </c>
      <c r="F712" s="6">
        <v>90</v>
      </c>
      <c r="G712" s="6" t="s">
        <v>405</v>
      </c>
      <c r="H712" s="6" t="s">
        <v>406</v>
      </c>
      <c r="I712" s="6" t="s">
        <v>407</v>
      </c>
      <c r="J712" s="6" t="s">
        <v>17</v>
      </c>
      <c r="K712" s="7">
        <v>59.6</v>
      </c>
    </row>
    <row r="713" spans="1:11" s="4" customFormat="1" ht="10.199999999999999" x14ac:dyDescent="0.2">
      <c r="A713" s="6" t="str">
        <f>"0012240090"</f>
        <v>0012240090</v>
      </c>
      <c r="B713" s="6" t="str">
        <f>"505920"</f>
        <v>505920</v>
      </c>
      <c r="C713" s="6" t="s">
        <v>404</v>
      </c>
      <c r="D713" s="6" t="s">
        <v>132</v>
      </c>
      <c r="E713" s="6" t="s">
        <v>135</v>
      </c>
      <c r="F713" s="6">
        <v>90</v>
      </c>
      <c r="G713" s="6" t="s">
        <v>405</v>
      </c>
      <c r="H713" s="6" t="s">
        <v>406</v>
      </c>
      <c r="I713" s="6" t="s">
        <v>86</v>
      </c>
      <c r="J713" s="6" t="s">
        <v>87</v>
      </c>
      <c r="K713" s="7">
        <v>59.6</v>
      </c>
    </row>
    <row r="714" spans="1:11" s="4" customFormat="1" ht="10.199999999999999" x14ac:dyDescent="0.2">
      <c r="A714" s="6" t="str">
        <f>"0012240090"</f>
        <v>0012240090</v>
      </c>
      <c r="B714" s="6" t="str">
        <f>"425257"</f>
        <v>425257</v>
      </c>
      <c r="C714" s="6" t="s">
        <v>408</v>
      </c>
      <c r="D714" s="6" t="s">
        <v>132</v>
      </c>
      <c r="E714" s="6" t="s">
        <v>135</v>
      </c>
      <c r="F714" s="6">
        <v>90</v>
      </c>
      <c r="G714" s="6" t="s">
        <v>405</v>
      </c>
      <c r="H714" s="6" t="s">
        <v>406</v>
      </c>
      <c r="I714" s="6" t="s">
        <v>409</v>
      </c>
      <c r="J714" s="6" t="s">
        <v>20</v>
      </c>
      <c r="K714" s="7">
        <v>35.76</v>
      </c>
    </row>
    <row r="715" spans="1:11" s="4" customFormat="1" ht="10.199999999999999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7"/>
    </row>
    <row r="716" spans="1:11" s="4" customFormat="1" ht="10.199999999999999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7"/>
    </row>
    <row r="717" spans="1:11" s="4" customFormat="1" ht="10.199999999999999" x14ac:dyDescent="0.2">
      <c r="A717" s="6" t="str">
        <f>"0001780030"</f>
        <v>0001780030</v>
      </c>
      <c r="B717" s="6" t="str">
        <f>"445544"</f>
        <v>445544</v>
      </c>
      <c r="C717" s="6" t="s">
        <v>410</v>
      </c>
      <c r="D717" s="6" t="s">
        <v>174</v>
      </c>
      <c r="E717" s="6" t="s">
        <v>13</v>
      </c>
      <c r="F717" s="6">
        <v>28</v>
      </c>
      <c r="G717" s="6" t="s">
        <v>411</v>
      </c>
      <c r="H717" s="6" t="s">
        <v>412</v>
      </c>
      <c r="I717" s="6" t="s">
        <v>207</v>
      </c>
      <c r="J717" s="6" t="s">
        <v>17</v>
      </c>
      <c r="K717" s="7">
        <v>28.17</v>
      </c>
    </row>
    <row r="718" spans="1:11" s="4" customFormat="1" ht="10.199999999999999" x14ac:dyDescent="0.2">
      <c r="A718" s="6" t="str">
        <f>"0001780030"</f>
        <v>0001780030</v>
      </c>
      <c r="B718" s="6" t="str">
        <f>"000599"</f>
        <v>000599</v>
      </c>
      <c r="C718" s="6" t="s">
        <v>413</v>
      </c>
      <c r="D718" s="6" t="s">
        <v>174</v>
      </c>
      <c r="E718" s="6" t="s">
        <v>13</v>
      </c>
      <c r="F718" s="6">
        <v>30</v>
      </c>
      <c r="G718" s="6" t="s">
        <v>411</v>
      </c>
      <c r="H718" s="6" t="s">
        <v>412</v>
      </c>
      <c r="I718" s="6" t="s">
        <v>150</v>
      </c>
      <c r="J718" s="6" t="s">
        <v>20</v>
      </c>
      <c r="K718" s="7">
        <v>28.17</v>
      </c>
    </row>
    <row r="719" spans="1:11" s="4" customFormat="1" ht="10.199999999999999" x14ac:dyDescent="0.2">
      <c r="A719" s="6" t="str">
        <f>"0001780030"</f>
        <v>0001780030</v>
      </c>
      <c r="B719" s="6" t="str">
        <f>"031478"</f>
        <v>031478</v>
      </c>
      <c r="C719" s="6" t="s">
        <v>414</v>
      </c>
      <c r="D719" s="6" t="s">
        <v>174</v>
      </c>
      <c r="E719" s="6" t="s">
        <v>13</v>
      </c>
      <c r="F719" s="6">
        <v>30</v>
      </c>
      <c r="G719" s="6" t="s">
        <v>411</v>
      </c>
      <c r="H719" s="6" t="s">
        <v>412</v>
      </c>
      <c r="I719" s="6" t="s">
        <v>144</v>
      </c>
      <c r="J719" s="6" t="s">
        <v>20</v>
      </c>
      <c r="K719" s="7">
        <v>28.17</v>
      </c>
    </row>
    <row r="720" spans="1:11" s="4" customFormat="1" ht="10.199999999999999" x14ac:dyDescent="0.2">
      <c r="A720" s="6" t="str">
        <f>"0001780030"</f>
        <v>0001780030</v>
      </c>
      <c r="B720" s="6" t="str">
        <f>"385822"</f>
        <v>385822</v>
      </c>
      <c r="C720" s="6" t="s">
        <v>415</v>
      </c>
      <c r="D720" s="6" t="s">
        <v>174</v>
      </c>
      <c r="E720" s="6" t="s">
        <v>13</v>
      </c>
      <c r="F720" s="6">
        <v>30</v>
      </c>
      <c r="G720" s="6" t="s">
        <v>411</v>
      </c>
      <c r="H720" s="6" t="s">
        <v>412</v>
      </c>
      <c r="I720" s="6" t="s">
        <v>19</v>
      </c>
      <c r="J720" s="6" t="s">
        <v>20</v>
      </c>
      <c r="K720" s="7">
        <v>28.17</v>
      </c>
    </row>
    <row r="721" spans="1:11" s="4" customFormat="1" ht="10.199999999999999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7"/>
    </row>
    <row r="722" spans="1:11" s="4" customFormat="1" ht="10.199999999999999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7"/>
    </row>
    <row r="723" spans="1:11" s="4" customFormat="1" ht="10.199999999999999" x14ac:dyDescent="0.2">
      <c r="A723" s="6" t="str">
        <f>"0001780100"</f>
        <v>0001780100</v>
      </c>
      <c r="B723" s="6" t="str">
        <f>"445759"</f>
        <v>445759</v>
      </c>
      <c r="C723" s="6" t="s">
        <v>410</v>
      </c>
      <c r="D723" s="6" t="s">
        <v>174</v>
      </c>
      <c r="E723" s="6" t="s">
        <v>13</v>
      </c>
      <c r="F723" s="6">
        <v>98</v>
      </c>
      <c r="G723" s="6" t="s">
        <v>411</v>
      </c>
      <c r="H723" s="6" t="s">
        <v>412</v>
      </c>
      <c r="I723" s="6" t="s">
        <v>207</v>
      </c>
      <c r="J723" s="6" t="s">
        <v>17</v>
      </c>
      <c r="K723" s="7">
        <v>90.14</v>
      </c>
    </row>
    <row r="724" spans="1:11" s="4" customFormat="1" ht="10.199999999999999" x14ac:dyDescent="0.2">
      <c r="A724" s="6" t="str">
        <f>"0001780100"</f>
        <v>0001780100</v>
      </c>
      <c r="B724" s="6" t="str">
        <f>"000616"</f>
        <v>000616</v>
      </c>
      <c r="C724" s="6" t="s">
        <v>413</v>
      </c>
      <c r="D724" s="6" t="s">
        <v>174</v>
      </c>
      <c r="E724" s="6" t="s">
        <v>13</v>
      </c>
      <c r="F724" s="6">
        <v>100</v>
      </c>
      <c r="G724" s="6" t="s">
        <v>411</v>
      </c>
      <c r="H724" s="6" t="s">
        <v>412</v>
      </c>
      <c r="I724" s="6" t="s">
        <v>150</v>
      </c>
      <c r="J724" s="6" t="s">
        <v>20</v>
      </c>
      <c r="K724" s="7">
        <v>90.14</v>
      </c>
    </row>
    <row r="725" spans="1:11" s="4" customFormat="1" ht="10.199999999999999" x14ac:dyDescent="0.2">
      <c r="A725" s="6" t="str">
        <f>"0001780100"</f>
        <v>0001780100</v>
      </c>
      <c r="B725" s="6" t="str">
        <f>"031487"</f>
        <v>031487</v>
      </c>
      <c r="C725" s="6" t="s">
        <v>414</v>
      </c>
      <c r="D725" s="6" t="s">
        <v>174</v>
      </c>
      <c r="E725" s="6" t="s">
        <v>13</v>
      </c>
      <c r="F725" s="6">
        <v>100</v>
      </c>
      <c r="G725" s="6" t="s">
        <v>411</v>
      </c>
      <c r="H725" s="6" t="s">
        <v>412</v>
      </c>
      <c r="I725" s="6" t="s">
        <v>144</v>
      </c>
      <c r="J725" s="6" t="s">
        <v>20</v>
      </c>
      <c r="K725" s="7">
        <v>90.14</v>
      </c>
    </row>
    <row r="726" spans="1:11" s="4" customFormat="1" ht="10.199999999999999" x14ac:dyDescent="0.2">
      <c r="A726" s="6" t="str">
        <f>"0001780100"</f>
        <v>0001780100</v>
      </c>
      <c r="B726" s="6" t="str">
        <f>"534994"</f>
        <v>534994</v>
      </c>
      <c r="C726" s="6" t="s">
        <v>415</v>
      </c>
      <c r="D726" s="6" t="s">
        <v>174</v>
      </c>
      <c r="E726" s="6" t="s">
        <v>13</v>
      </c>
      <c r="F726" s="6">
        <v>100</v>
      </c>
      <c r="G726" s="6" t="s">
        <v>411</v>
      </c>
      <c r="H726" s="6" t="s">
        <v>412</v>
      </c>
      <c r="I726" s="6" t="s">
        <v>19</v>
      </c>
      <c r="J726" s="6" t="s">
        <v>20</v>
      </c>
      <c r="K726" s="7">
        <v>90.14</v>
      </c>
    </row>
    <row r="727" spans="1:11" s="4" customFormat="1" ht="10.199999999999999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7"/>
    </row>
    <row r="728" spans="1:11" s="4" customFormat="1" ht="10.199999999999999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7"/>
    </row>
    <row r="729" spans="1:11" s="4" customFormat="1" ht="10.199999999999999" x14ac:dyDescent="0.2">
      <c r="A729" s="6" t="str">
        <f>"0014960030"</f>
        <v>0014960030</v>
      </c>
      <c r="B729" s="6" t="str">
        <f>"471557"</f>
        <v>471557</v>
      </c>
      <c r="C729" s="6" t="s">
        <v>416</v>
      </c>
      <c r="D729" s="6" t="s">
        <v>174</v>
      </c>
      <c r="E729" s="6" t="s">
        <v>82</v>
      </c>
      <c r="F729" s="6">
        <v>30</v>
      </c>
      <c r="G729" s="6" t="s">
        <v>417</v>
      </c>
      <c r="H729" s="6" t="s">
        <v>418</v>
      </c>
      <c r="I729" s="6" t="s">
        <v>169</v>
      </c>
      <c r="J729" s="6" t="s">
        <v>17</v>
      </c>
      <c r="K729" s="7">
        <v>1.59</v>
      </c>
    </row>
    <row r="730" spans="1:11" s="4" customFormat="1" ht="10.199999999999999" x14ac:dyDescent="0.2">
      <c r="A730" s="6" t="str">
        <f>"0014960030"</f>
        <v>0014960030</v>
      </c>
      <c r="B730" s="6" t="str">
        <f>"155761"</f>
        <v>155761</v>
      </c>
      <c r="C730" s="6" t="s">
        <v>419</v>
      </c>
      <c r="D730" s="6" t="s">
        <v>174</v>
      </c>
      <c r="E730" s="6" t="s">
        <v>82</v>
      </c>
      <c r="F730" s="6">
        <v>30</v>
      </c>
      <c r="G730" s="6" t="s">
        <v>417</v>
      </c>
      <c r="H730" s="6" t="s">
        <v>418</v>
      </c>
      <c r="I730" s="6" t="s">
        <v>191</v>
      </c>
      <c r="J730" s="6" t="s">
        <v>20</v>
      </c>
      <c r="K730" s="7">
        <v>0.95</v>
      </c>
    </row>
    <row r="731" spans="1:11" s="4" customFormat="1" ht="10.199999999999999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7"/>
    </row>
    <row r="732" spans="1:11" s="4" customFormat="1" ht="10.199999999999999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7"/>
    </row>
    <row r="733" spans="1:11" s="4" customFormat="1" ht="10.199999999999999" x14ac:dyDescent="0.2">
      <c r="A733" s="6" t="str">
        <f>"0014960100"</f>
        <v>0014960100</v>
      </c>
      <c r="B733" s="6" t="str">
        <f>"557827"</f>
        <v>557827</v>
      </c>
      <c r="C733" s="6" t="s">
        <v>416</v>
      </c>
      <c r="D733" s="6" t="s">
        <v>174</v>
      </c>
      <c r="E733" s="6" t="s">
        <v>82</v>
      </c>
      <c r="F733" s="6">
        <v>100</v>
      </c>
      <c r="G733" s="6" t="s">
        <v>417</v>
      </c>
      <c r="H733" s="6" t="s">
        <v>418</v>
      </c>
      <c r="I733" s="6" t="s">
        <v>169</v>
      </c>
      <c r="J733" s="6" t="s">
        <v>17</v>
      </c>
      <c r="K733" s="7">
        <v>3.56</v>
      </c>
    </row>
    <row r="734" spans="1:11" s="4" customFormat="1" ht="10.199999999999999" x14ac:dyDescent="0.2">
      <c r="A734" s="6" t="str">
        <f>"0014960100"</f>
        <v>0014960100</v>
      </c>
      <c r="B734" s="6" t="str">
        <f>"138281"</f>
        <v>138281</v>
      </c>
      <c r="C734" s="6" t="s">
        <v>419</v>
      </c>
      <c r="D734" s="6" t="s">
        <v>174</v>
      </c>
      <c r="E734" s="6" t="s">
        <v>82</v>
      </c>
      <c r="F734" s="6">
        <v>100</v>
      </c>
      <c r="G734" s="6" t="s">
        <v>417</v>
      </c>
      <c r="H734" s="6" t="s">
        <v>418</v>
      </c>
      <c r="I734" s="6" t="s">
        <v>191</v>
      </c>
      <c r="J734" s="6" t="s">
        <v>20</v>
      </c>
      <c r="K734" s="7">
        <v>2.14</v>
      </c>
    </row>
    <row r="735" spans="1:11" s="4" customFormat="1" ht="10.199999999999999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</row>
    <row r="736" spans="1:11" s="4" customFormat="1" ht="10.199999999999999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7"/>
    </row>
    <row r="737" spans="1:11" s="4" customFormat="1" ht="10.199999999999999" x14ac:dyDescent="0.2">
      <c r="A737" s="6" t="str">
        <f>"0014970030"</f>
        <v>0014970030</v>
      </c>
      <c r="B737" s="6" t="str">
        <f>"067710"</f>
        <v>067710</v>
      </c>
      <c r="C737" s="6" t="s">
        <v>416</v>
      </c>
      <c r="D737" s="6" t="s">
        <v>22</v>
      </c>
      <c r="E737" s="6" t="s">
        <v>82</v>
      </c>
      <c r="F737" s="6">
        <v>30</v>
      </c>
      <c r="G737" s="6" t="s">
        <v>417</v>
      </c>
      <c r="H737" s="6" t="s">
        <v>418</v>
      </c>
      <c r="I737" s="6" t="s">
        <v>169</v>
      </c>
      <c r="J737" s="6" t="s">
        <v>17</v>
      </c>
      <c r="K737" s="7">
        <v>5.79</v>
      </c>
    </row>
    <row r="738" spans="1:11" s="4" customFormat="1" ht="10.199999999999999" x14ac:dyDescent="0.2">
      <c r="A738" s="6" t="str">
        <f>"0014970030"</f>
        <v>0014970030</v>
      </c>
      <c r="B738" s="6" t="str">
        <f>"413692"</f>
        <v>413692</v>
      </c>
      <c r="C738" s="6" t="s">
        <v>419</v>
      </c>
      <c r="D738" s="6" t="s">
        <v>22</v>
      </c>
      <c r="E738" s="6" t="s">
        <v>82</v>
      </c>
      <c r="F738" s="6">
        <v>30</v>
      </c>
      <c r="G738" s="6" t="s">
        <v>417</v>
      </c>
      <c r="H738" s="6" t="s">
        <v>418</v>
      </c>
      <c r="I738" s="6" t="s">
        <v>191</v>
      </c>
      <c r="J738" s="6" t="s">
        <v>20</v>
      </c>
      <c r="K738" s="7">
        <v>3.47</v>
      </c>
    </row>
    <row r="739" spans="1:11" s="4" customFormat="1" ht="10.199999999999999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7"/>
    </row>
    <row r="740" spans="1:11" s="4" customFormat="1" ht="10.199999999999999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7"/>
    </row>
    <row r="741" spans="1:11" s="4" customFormat="1" ht="10.199999999999999" x14ac:dyDescent="0.2">
      <c r="A741" s="6" t="str">
        <f>"0014970100"</f>
        <v>0014970100</v>
      </c>
      <c r="B741" s="6" t="str">
        <f>"067728"</f>
        <v>067728</v>
      </c>
      <c r="C741" s="6" t="s">
        <v>416</v>
      </c>
      <c r="D741" s="6" t="s">
        <v>22</v>
      </c>
      <c r="E741" s="6" t="s">
        <v>82</v>
      </c>
      <c r="F741" s="6">
        <v>100</v>
      </c>
      <c r="G741" s="6" t="s">
        <v>417</v>
      </c>
      <c r="H741" s="6" t="s">
        <v>418</v>
      </c>
      <c r="I741" s="6" t="s">
        <v>169</v>
      </c>
      <c r="J741" s="6" t="s">
        <v>17</v>
      </c>
      <c r="K741" s="7">
        <v>17.38</v>
      </c>
    </row>
    <row r="742" spans="1:11" s="4" customFormat="1" ht="10.199999999999999" x14ac:dyDescent="0.2">
      <c r="A742" s="6" t="str">
        <f>"0014970100"</f>
        <v>0014970100</v>
      </c>
      <c r="B742" s="6" t="str">
        <f>"581334"</f>
        <v>581334</v>
      </c>
      <c r="C742" s="6" t="s">
        <v>419</v>
      </c>
      <c r="D742" s="6" t="s">
        <v>22</v>
      </c>
      <c r="E742" s="6" t="s">
        <v>82</v>
      </c>
      <c r="F742" s="6">
        <v>100</v>
      </c>
      <c r="G742" s="6" t="s">
        <v>417</v>
      </c>
      <c r="H742" s="6" t="s">
        <v>418</v>
      </c>
      <c r="I742" s="6" t="s">
        <v>191</v>
      </c>
      <c r="J742" s="6" t="s">
        <v>20</v>
      </c>
      <c r="K742" s="7">
        <v>10.43</v>
      </c>
    </row>
    <row r="743" spans="1:11" s="4" customFormat="1" ht="10.199999999999999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7"/>
    </row>
    <row r="744" spans="1:11" s="4" customFormat="1" ht="10.199999999999999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7"/>
    </row>
    <row r="745" spans="1:11" s="4" customFormat="1" ht="10.199999999999999" x14ac:dyDescent="0.2">
      <c r="A745" s="6" t="str">
        <f>"0013870100"</f>
        <v>0013870100</v>
      </c>
      <c r="B745" s="6" t="str">
        <f>"012831"</f>
        <v>012831</v>
      </c>
      <c r="C745" s="6" t="s">
        <v>420</v>
      </c>
      <c r="D745" s="6" t="s">
        <v>12</v>
      </c>
      <c r="E745" s="6" t="s">
        <v>314</v>
      </c>
      <c r="F745" s="6">
        <v>100</v>
      </c>
      <c r="G745" s="6" t="s">
        <v>421</v>
      </c>
      <c r="H745" s="6" t="s">
        <v>422</v>
      </c>
      <c r="I745" s="6" t="s">
        <v>335</v>
      </c>
      <c r="J745" s="6" t="s">
        <v>17</v>
      </c>
      <c r="K745" s="7">
        <v>23.66</v>
      </c>
    </row>
    <row r="746" spans="1:11" s="4" customFormat="1" ht="10.199999999999999" x14ac:dyDescent="0.2">
      <c r="A746" s="6" t="str">
        <f>"0013870100"</f>
        <v>0013870100</v>
      </c>
      <c r="B746" s="6" t="str">
        <f>"100884"</f>
        <v>100884</v>
      </c>
      <c r="C746" s="6" t="s">
        <v>423</v>
      </c>
      <c r="D746" s="6" t="s">
        <v>12</v>
      </c>
      <c r="E746" s="6" t="s">
        <v>314</v>
      </c>
      <c r="F746" s="6">
        <v>100</v>
      </c>
      <c r="G746" s="6" t="s">
        <v>421</v>
      </c>
      <c r="H746" s="6" t="s">
        <v>422</v>
      </c>
      <c r="I746" s="6" t="s">
        <v>35</v>
      </c>
      <c r="J746" s="6" t="s">
        <v>20</v>
      </c>
      <c r="K746" s="7">
        <v>14.2</v>
      </c>
    </row>
    <row r="747" spans="1:11" s="4" customFormat="1" ht="10.199999999999999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7"/>
    </row>
    <row r="748" spans="1:11" s="4" customFormat="1" ht="10.199999999999999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7"/>
    </row>
    <row r="749" spans="1:11" s="4" customFormat="1" ht="20.399999999999999" x14ac:dyDescent="0.2">
      <c r="A749" s="6" t="str">
        <f>"0001990020"</f>
        <v>0001990020</v>
      </c>
      <c r="B749" s="6" t="str">
        <f>"007181"</f>
        <v>007181</v>
      </c>
      <c r="C749" s="6" t="s">
        <v>424</v>
      </c>
      <c r="D749" s="6" t="s">
        <v>425</v>
      </c>
      <c r="E749" s="6" t="s">
        <v>13</v>
      </c>
      <c r="F749" s="6">
        <v>20</v>
      </c>
      <c r="G749" s="6" t="s">
        <v>426</v>
      </c>
      <c r="H749" s="6" t="s">
        <v>427</v>
      </c>
      <c r="I749" s="6" t="s">
        <v>144</v>
      </c>
      <c r="J749" s="6" t="s">
        <v>17</v>
      </c>
      <c r="K749" s="7">
        <v>2.89</v>
      </c>
    </row>
    <row r="750" spans="1:11" s="4" customFormat="1" ht="20.399999999999999" x14ac:dyDescent="0.2">
      <c r="A750" s="6" t="str">
        <f>"0001990020"</f>
        <v>0001990020</v>
      </c>
      <c r="B750" s="6" t="str">
        <f>"577818"</f>
        <v>577818</v>
      </c>
      <c r="C750" s="6" t="s">
        <v>428</v>
      </c>
      <c r="D750" s="6" t="s">
        <v>425</v>
      </c>
      <c r="E750" s="6" t="s">
        <v>13</v>
      </c>
      <c r="F750" s="6">
        <v>20</v>
      </c>
      <c r="G750" s="6" t="s">
        <v>426</v>
      </c>
      <c r="H750" s="6" t="s">
        <v>427</v>
      </c>
      <c r="I750" s="6" t="s">
        <v>19</v>
      </c>
      <c r="J750" s="6" t="s">
        <v>20</v>
      </c>
      <c r="K750" s="7">
        <v>2.29</v>
      </c>
    </row>
    <row r="751" spans="1:11" s="4" customFormat="1" ht="10.199999999999999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7"/>
    </row>
    <row r="752" spans="1:11" s="4" customFormat="1" ht="10.199999999999999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7"/>
    </row>
    <row r="753" spans="1:11" s="4" customFormat="1" ht="20.399999999999999" x14ac:dyDescent="0.2">
      <c r="A753" s="6" t="str">
        <f>"0001990030"</f>
        <v>0001990030</v>
      </c>
      <c r="B753" s="6" t="str">
        <f>"007190"</f>
        <v>007190</v>
      </c>
      <c r="C753" s="6" t="s">
        <v>424</v>
      </c>
      <c r="D753" s="6" t="s">
        <v>425</v>
      </c>
      <c r="E753" s="6" t="s">
        <v>13</v>
      </c>
      <c r="F753" s="6">
        <v>30</v>
      </c>
      <c r="G753" s="6" t="s">
        <v>426</v>
      </c>
      <c r="H753" s="6" t="s">
        <v>427</v>
      </c>
      <c r="I753" s="6" t="s">
        <v>144</v>
      </c>
      <c r="J753" s="6" t="s">
        <v>17</v>
      </c>
      <c r="K753" s="7">
        <v>4.2</v>
      </c>
    </row>
    <row r="754" spans="1:11" s="4" customFormat="1" ht="20.399999999999999" x14ac:dyDescent="0.2">
      <c r="A754" s="6" t="str">
        <f>"0001990030"</f>
        <v>0001990030</v>
      </c>
      <c r="B754" s="6" t="str">
        <f>"384478"</f>
        <v>384478</v>
      </c>
      <c r="C754" s="6" t="s">
        <v>428</v>
      </c>
      <c r="D754" s="6" t="s">
        <v>425</v>
      </c>
      <c r="E754" s="6" t="s">
        <v>13</v>
      </c>
      <c r="F754" s="6">
        <v>30</v>
      </c>
      <c r="G754" s="6" t="s">
        <v>426</v>
      </c>
      <c r="H754" s="6" t="s">
        <v>427</v>
      </c>
      <c r="I754" s="6" t="s">
        <v>19</v>
      </c>
      <c r="J754" s="6" t="s">
        <v>20</v>
      </c>
      <c r="K754" s="7">
        <v>3.34</v>
      </c>
    </row>
    <row r="755" spans="1:11" s="4" customFormat="1" ht="10.199999999999999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7"/>
    </row>
    <row r="756" spans="1:11" s="4" customFormat="1" ht="10.199999999999999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7"/>
    </row>
    <row r="757" spans="1:11" s="4" customFormat="1" ht="20.399999999999999" x14ac:dyDescent="0.2">
      <c r="A757" s="6" t="str">
        <f>"0002000014"</f>
        <v>0002000014</v>
      </c>
      <c r="B757" s="6" t="str">
        <f>"006185"</f>
        <v>006185</v>
      </c>
      <c r="C757" s="6" t="s">
        <v>429</v>
      </c>
      <c r="D757" s="6" t="s">
        <v>430</v>
      </c>
      <c r="E757" s="6" t="s">
        <v>13</v>
      </c>
      <c r="F757" s="6">
        <v>14</v>
      </c>
      <c r="G757" s="6" t="s">
        <v>426</v>
      </c>
      <c r="H757" s="6" t="s">
        <v>427</v>
      </c>
      <c r="I757" s="6" t="s">
        <v>144</v>
      </c>
      <c r="J757" s="6" t="s">
        <v>17</v>
      </c>
      <c r="K757" s="7">
        <v>2.83</v>
      </c>
    </row>
    <row r="758" spans="1:11" s="4" customFormat="1" ht="20.399999999999999" x14ac:dyDescent="0.2">
      <c r="A758" s="6" t="str">
        <f>"0002000014"</f>
        <v>0002000014</v>
      </c>
      <c r="B758" s="6" t="str">
        <f>"092423"</f>
        <v>092423</v>
      </c>
      <c r="C758" s="6" t="s">
        <v>431</v>
      </c>
      <c r="D758" s="6" t="s">
        <v>430</v>
      </c>
      <c r="E758" s="6" t="s">
        <v>13</v>
      </c>
      <c r="F758" s="6">
        <v>14</v>
      </c>
      <c r="G758" s="6" t="s">
        <v>426</v>
      </c>
      <c r="H758" s="6" t="s">
        <v>427</v>
      </c>
      <c r="I758" s="6" t="s">
        <v>19</v>
      </c>
      <c r="J758" s="6" t="s">
        <v>20</v>
      </c>
      <c r="K758" s="7">
        <v>2.75</v>
      </c>
    </row>
    <row r="759" spans="1:11" s="4" customFormat="1" ht="10.199999999999999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7"/>
    </row>
    <row r="760" spans="1:11" s="4" customFormat="1" ht="10.199999999999999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7"/>
    </row>
    <row r="761" spans="1:11" s="4" customFormat="1" ht="20.399999999999999" x14ac:dyDescent="0.2">
      <c r="A761" s="9" t="str">
        <f>"0002000020"</f>
        <v>0002000020</v>
      </c>
      <c r="B761" s="9" t="str">
        <f>"006826"</f>
        <v>006826</v>
      </c>
      <c r="C761" s="9" t="s">
        <v>429</v>
      </c>
      <c r="D761" s="9" t="s">
        <v>430</v>
      </c>
      <c r="E761" s="9" t="s">
        <v>13</v>
      </c>
      <c r="F761" s="9">
        <v>20</v>
      </c>
      <c r="G761" s="9" t="s">
        <v>426</v>
      </c>
      <c r="H761" s="9" t="s">
        <v>427</v>
      </c>
      <c r="I761" s="9" t="s">
        <v>144</v>
      </c>
      <c r="J761" s="9" t="s">
        <v>17</v>
      </c>
      <c r="K761" s="10">
        <v>3.72</v>
      </c>
    </row>
    <row r="762" spans="1:11" s="4" customFormat="1" ht="20.399999999999999" x14ac:dyDescent="0.2">
      <c r="A762" s="9" t="str">
        <f>"0002000020"</f>
        <v>0002000020</v>
      </c>
      <c r="B762" s="9" t="str">
        <f>"011403"</f>
        <v>011403</v>
      </c>
      <c r="C762" s="9" t="s">
        <v>432</v>
      </c>
      <c r="D762" s="9"/>
      <c r="E762" s="9" t="s">
        <v>13</v>
      </c>
      <c r="F762" s="9">
        <v>20</v>
      </c>
      <c r="G762" s="9" t="s">
        <v>426</v>
      </c>
      <c r="H762" s="9" t="s">
        <v>427</v>
      </c>
      <c r="I762" s="9" t="s">
        <v>169</v>
      </c>
      <c r="J762" s="9" t="s">
        <v>17</v>
      </c>
      <c r="K762" s="10">
        <v>3.7</v>
      </c>
    </row>
    <row r="763" spans="1:11" s="4" customFormat="1" ht="20.399999999999999" x14ac:dyDescent="0.2">
      <c r="A763" s="9" t="str">
        <f>"0002000020"</f>
        <v>0002000020</v>
      </c>
      <c r="B763" s="9" t="str">
        <f>"433798"</f>
        <v>433798</v>
      </c>
      <c r="C763" s="9" t="s">
        <v>431</v>
      </c>
      <c r="D763" s="9" t="s">
        <v>430</v>
      </c>
      <c r="E763" s="9" t="s">
        <v>13</v>
      </c>
      <c r="F763" s="9">
        <v>20</v>
      </c>
      <c r="G763" s="9" t="s">
        <v>426</v>
      </c>
      <c r="H763" s="9" t="s">
        <v>427</v>
      </c>
      <c r="I763" s="9" t="s">
        <v>19</v>
      </c>
      <c r="J763" s="9" t="s">
        <v>20</v>
      </c>
      <c r="K763" s="10">
        <v>2.99</v>
      </c>
    </row>
    <row r="764" spans="1:11" s="4" customFormat="1" ht="10.199999999999999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10"/>
    </row>
    <row r="765" spans="1:11" s="4" customFormat="1" ht="10.199999999999999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10"/>
    </row>
    <row r="766" spans="1:11" s="4" customFormat="1" ht="10.199999999999999" x14ac:dyDescent="0.2">
      <c r="A766" s="6" t="str">
        <f>"0002190030"</f>
        <v>0002190030</v>
      </c>
      <c r="B766" s="6" t="str">
        <f>"580092"</f>
        <v>580092</v>
      </c>
      <c r="C766" s="6" t="s">
        <v>433</v>
      </c>
      <c r="D766" s="6" t="s">
        <v>230</v>
      </c>
      <c r="E766" s="6" t="s">
        <v>13</v>
      </c>
      <c r="F766" s="6">
        <v>30</v>
      </c>
      <c r="G766" s="6" t="s">
        <v>434</v>
      </c>
      <c r="H766" s="6" t="s">
        <v>435</v>
      </c>
      <c r="I766" s="6" t="s">
        <v>144</v>
      </c>
      <c r="J766" s="6" t="s">
        <v>17</v>
      </c>
      <c r="K766" s="7">
        <v>4.4800000000000004</v>
      </c>
    </row>
    <row r="767" spans="1:11" s="4" customFormat="1" ht="10.199999999999999" x14ac:dyDescent="0.2">
      <c r="A767" s="6" t="str">
        <f>"0002190030"</f>
        <v>0002190030</v>
      </c>
      <c r="B767" s="6" t="str">
        <f>"592329"</f>
        <v>592329</v>
      </c>
      <c r="C767" s="6" t="s">
        <v>436</v>
      </c>
      <c r="D767" s="6" t="s">
        <v>230</v>
      </c>
      <c r="E767" s="6" t="s">
        <v>82</v>
      </c>
      <c r="F767" s="6">
        <v>30</v>
      </c>
      <c r="G767" s="6" t="s">
        <v>434</v>
      </c>
      <c r="H767" s="6" t="s">
        <v>435</v>
      </c>
      <c r="I767" s="6" t="s">
        <v>171</v>
      </c>
      <c r="J767" s="6" t="s">
        <v>20</v>
      </c>
      <c r="K767" s="7">
        <v>4.16</v>
      </c>
    </row>
    <row r="768" spans="1:11" s="4" customFormat="1" ht="10.199999999999999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7"/>
    </row>
    <row r="769" spans="1:11" s="4" customFormat="1" ht="10.199999999999999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7"/>
    </row>
    <row r="770" spans="1:11" s="4" customFormat="1" ht="10.199999999999999" x14ac:dyDescent="0.2">
      <c r="A770" s="6" t="str">
        <f>"0002190100"</f>
        <v>0002190100</v>
      </c>
      <c r="B770" s="6" t="str">
        <f>"580100"</f>
        <v>580100</v>
      </c>
      <c r="C770" s="6" t="s">
        <v>433</v>
      </c>
      <c r="D770" s="6" t="s">
        <v>230</v>
      </c>
      <c r="E770" s="6" t="s">
        <v>13</v>
      </c>
      <c r="F770" s="6">
        <v>100</v>
      </c>
      <c r="G770" s="6" t="s">
        <v>434</v>
      </c>
      <c r="H770" s="6" t="s">
        <v>435</v>
      </c>
      <c r="I770" s="6" t="s">
        <v>144</v>
      </c>
      <c r="J770" s="6" t="s">
        <v>17</v>
      </c>
      <c r="K770" s="7">
        <v>11.09</v>
      </c>
    </row>
    <row r="771" spans="1:11" s="4" customFormat="1" ht="10.199999999999999" x14ac:dyDescent="0.2">
      <c r="A771" s="6" t="str">
        <f>"0002190100"</f>
        <v>0002190100</v>
      </c>
      <c r="B771" s="6" t="str">
        <f>"592337"</f>
        <v>592337</v>
      </c>
      <c r="C771" s="6" t="s">
        <v>436</v>
      </c>
      <c r="D771" s="6" t="s">
        <v>230</v>
      </c>
      <c r="E771" s="6" t="s">
        <v>82</v>
      </c>
      <c r="F771" s="6">
        <v>100</v>
      </c>
      <c r="G771" s="6" t="s">
        <v>434</v>
      </c>
      <c r="H771" s="6" t="s">
        <v>435</v>
      </c>
      <c r="I771" s="6" t="s">
        <v>171</v>
      </c>
      <c r="J771" s="6" t="s">
        <v>20</v>
      </c>
      <c r="K771" s="7">
        <v>9.7799999999999994</v>
      </c>
    </row>
    <row r="772" spans="1:11" s="4" customFormat="1" ht="10.199999999999999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7"/>
    </row>
    <row r="773" spans="1:11" s="4" customFormat="1" ht="10.199999999999999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7"/>
    </row>
    <row r="774" spans="1:11" s="4" customFormat="1" ht="10.199999999999999" x14ac:dyDescent="0.2">
      <c r="A774" s="6" t="str">
        <f>"0002200100"</f>
        <v>0002200100</v>
      </c>
      <c r="B774" s="6" t="str">
        <f>"166215"</f>
        <v>166215</v>
      </c>
      <c r="C774" s="6" t="s">
        <v>433</v>
      </c>
      <c r="D774" s="6" t="s">
        <v>247</v>
      </c>
      <c r="E774" s="6" t="s">
        <v>13</v>
      </c>
      <c r="F774" s="6">
        <v>100</v>
      </c>
      <c r="G774" s="6" t="s">
        <v>434</v>
      </c>
      <c r="H774" s="6" t="s">
        <v>435</v>
      </c>
      <c r="I774" s="6" t="s">
        <v>144</v>
      </c>
      <c r="J774" s="6" t="s">
        <v>17</v>
      </c>
      <c r="K774" s="7">
        <v>22.06</v>
      </c>
    </row>
    <row r="775" spans="1:11" s="4" customFormat="1" ht="10.199999999999999" x14ac:dyDescent="0.2">
      <c r="A775" s="6" t="str">
        <f>"0002200100"</f>
        <v>0002200100</v>
      </c>
      <c r="B775" s="6" t="str">
        <f>"592394"</f>
        <v>592394</v>
      </c>
      <c r="C775" s="6" t="s">
        <v>436</v>
      </c>
      <c r="D775" s="6" t="s">
        <v>247</v>
      </c>
      <c r="E775" s="6" t="s">
        <v>82</v>
      </c>
      <c r="F775" s="6">
        <v>100</v>
      </c>
      <c r="G775" s="6" t="s">
        <v>434</v>
      </c>
      <c r="H775" s="6" t="s">
        <v>435</v>
      </c>
      <c r="I775" s="6" t="s">
        <v>171</v>
      </c>
      <c r="J775" s="6" t="s">
        <v>20</v>
      </c>
      <c r="K775" s="7">
        <v>19.170000000000002</v>
      </c>
    </row>
    <row r="776" spans="1:11" s="4" customFormat="1" ht="10.199999999999999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7"/>
    </row>
    <row r="777" spans="1:11" s="4" customFormat="1" ht="10.199999999999999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7"/>
    </row>
    <row r="778" spans="1:11" s="4" customFormat="1" ht="10.199999999999999" x14ac:dyDescent="0.2">
      <c r="A778" s="6" t="str">
        <f>"0002220020"</f>
        <v>0002220020</v>
      </c>
      <c r="B778" s="6" t="str">
        <f>"431098"</f>
        <v>431098</v>
      </c>
      <c r="C778" s="6" t="s">
        <v>437</v>
      </c>
      <c r="D778" s="6" t="s">
        <v>438</v>
      </c>
      <c r="E778" s="6" t="s">
        <v>13</v>
      </c>
      <c r="F778" s="6">
        <v>20</v>
      </c>
      <c r="G778" s="6" t="s">
        <v>439</v>
      </c>
      <c r="H778" s="6" t="s">
        <v>440</v>
      </c>
      <c r="I778" s="6" t="s">
        <v>441</v>
      </c>
      <c r="J778" s="6" t="s">
        <v>17</v>
      </c>
      <c r="K778" s="7">
        <v>14.13</v>
      </c>
    </row>
    <row r="779" spans="1:11" s="4" customFormat="1" ht="10.199999999999999" x14ac:dyDescent="0.2">
      <c r="A779" s="6" t="str">
        <f>"0002220020"</f>
        <v>0002220020</v>
      </c>
      <c r="B779" s="6" t="str">
        <f>"009292"</f>
        <v>009292</v>
      </c>
      <c r="C779" s="6" t="s">
        <v>442</v>
      </c>
      <c r="D779" s="6" t="s">
        <v>438</v>
      </c>
      <c r="E779" s="6" t="s">
        <v>13</v>
      </c>
      <c r="F779" s="6">
        <v>20</v>
      </c>
      <c r="G779" s="6" t="s">
        <v>439</v>
      </c>
      <c r="H779" s="6" t="s">
        <v>440</v>
      </c>
      <c r="I779" s="6" t="s">
        <v>443</v>
      </c>
      <c r="J779" s="6" t="s">
        <v>20</v>
      </c>
      <c r="K779" s="7">
        <v>13.42</v>
      </c>
    </row>
    <row r="780" spans="1:11" s="4" customFormat="1" ht="10.199999999999999" x14ac:dyDescent="0.2">
      <c r="A780" s="6" t="str">
        <f>"0002220020"</f>
        <v>0002220020</v>
      </c>
      <c r="B780" s="6" t="str">
        <f>"509138"</f>
        <v>509138</v>
      </c>
      <c r="C780" s="6" t="s">
        <v>444</v>
      </c>
      <c r="D780" s="6" t="s">
        <v>438</v>
      </c>
      <c r="E780" s="6" t="s">
        <v>13</v>
      </c>
      <c r="F780" s="6">
        <v>20</v>
      </c>
      <c r="G780" s="6" t="s">
        <v>439</v>
      </c>
      <c r="H780" s="6" t="s">
        <v>440</v>
      </c>
      <c r="I780" s="6" t="s">
        <v>114</v>
      </c>
      <c r="J780" s="6" t="s">
        <v>20</v>
      </c>
      <c r="K780" s="7">
        <v>12.17</v>
      </c>
    </row>
    <row r="781" spans="1:11" s="4" customFormat="1" ht="10.199999999999999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7"/>
    </row>
    <row r="782" spans="1:11" s="4" customFormat="1" ht="10.199999999999999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7"/>
    </row>
    <row r="783" spans="1:11" s="4" customFormat="1" ht="20.399999999999999" x14ac:dyDescent="0.2">
      <c r="A783" s="6" t="str">
        <f>"0005610015"</f>
        <v>0005610015</v>
      </c>
      <c r="B783" s="6" t="str">
        <f>"039776"</f>
        <v>039776</v>
      </c>
      <c r="C783" s="6" t="s">
        <v>445</v>
      </c>
      <c r="D783" s="6" t="s">
        <v>446</v>
      </c>
      <c r="E783" s="6" t="s">
        <v>447</v>
      </c>
      <c r="F783" s="6" t="s">
        <v>448</v>
      </c>
      <c r="G783" s="6" t="s">
        <v>449</v>
      </c>
      <c r="H783" s="6" t="s">
        <v>450</v>
      </c>
      <c r="I783" s="6" t="s">
        <v>375</v>
      </c>
      <c r="J783" s="6" t="s">
        <v>17</v>
      </c>
      <c r="K783" s="7">
        <v>7.45</v>
      </c>
    </row>
    <row r="784" spans="1:11" s="4" customFormat="1" ht="20.399999999999999" x14ac:dyDescent="0.2">
      <c r="A784" s="6" t="str">
        <f>"0005610015"</f>
        <v>0005610015</v>
      </c>
      <c r="B784" s="6" t="str">
        <f>"062535"</f>
        <v>062535</v>
      </c>
      <c r="C784" s="6" t="s">
        <v>451</v>
      </c>
      <c r="D784" s="6" t="s">
        <v>446</v>
      </c>
      <c r="E784" s="6" t="s">
        <v>447</v>
      </c>
      <c r="F784" s="6" t="s">
        <v>448</v>
      </c>
      <c r="G784" s="6" t="s">
        <v>449</v>
      </c>
      <c r="H784" s="6" t="s">
        <v>450</v>
      </c>
      <c r="I784" s="6" t="s">
        <v>30</v>
      </c>
      <c r="J784" s="6" t="s">
        <v>20</v>
      </c>
      <c r="K784" s="7">
        <v>4.47</v>
      </c>
    </row>
    <row r="785" spans="1:11" s="4" customFormat="1" ht="20.399999999999999" x14ac:dyDescent="0.2">
      <c r="A785" s="6" t="str">
        <f>"0005610015"</f>
        <v>0005610015</v>
      </c>
      <c r="B785" s="6" t="str">
        <f>"089478"</f>
        <v>089478</v>
      </c>
      <c r="C785" s="6" t="s">
        <v>452</v>
      </c>
      <c r="D785" s="6" t="s">
        <v>446</v>
      </c>
      <c r="E785" s="6" t="s">
        <v>447</v>
      </c>
      <c r="F785" s="6" t="s">
        <v>448</v>
      </c>
      <c r="G785" s="6" t="s">
        <v>449</v>
      </c>
      <c r="H785" s="6" t="s">
        <v>450</v>
      </c>
      <c r="I785" s="6" t="s">
        <v>37</v>
      </c>
      <c r="J785" s="6" t="s">
        <v>20</v>
      </c>
      <c r="K785" s="7">
        <v>4.47</v>
      </c>
    </row>
    <row r="786" spans="1:11" s="4" customFormat="1" ht="10.199999999999999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7"/>
    </row>
    <row r="787" spans="1:11" s="4" customFormat="1" ht="10.199999999999999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7"/>
    </row>
    <row r="788" spans="1:11" s="4" customFormat="1" ht="20.399999999999999" x14ac:dyDescent="0.2">
      <c r="A788" s="6" t="str">
        <f>"0005610225"</f>
        <v>0005610225</v>
      </c>
      <c r="B788" s="6" t="str">
        <f>"039784"</f>
        <v>039784</v>
      </c>
      <c r="C788" s="6" t="s">
        <v>445</v>
      </c>
      <c r="D788" s="6" t="s">
        <v>446</v>
      </c>
      <c r="E788" s="6" t="s">
        <v>447</v>
      </c>
      <c r="F788" s="6" t="s">
        <v>453</v>
      </c>
      <c r="G788" s="6" t="s">
        <v>449</v>
      </c>
      <c r="H788" s="6" t="s">
        <v>450</v>
      </c>
      <c r="I788" s="6" t="s">
        <v>375</v>
      </c>
      <c r="J788" s="6" t="s">
        <v>17</v>
      </c>
      <c r="K788" s="7">
        <v>10.16</v>
      </c>
    </row>
    <row r="789" spans="1:11" s="4" customFormat="1" ht="20.399999999999999" x14ac:dyDescent="0.2">
      <c r="A789" s="6" t="str">
        <f>"0005610225"</f>
        <v>0005610225</v>
      </c>
      <c r="B789" s="6" t="str">
        <f>"062546"</f>
        <v>062546</v>
      </c>
      <c r="C789" s="6" t="s">
        <v>451</v>
      </c>
      <c r="D789" s="6" t="s">
        <v>446</v>
      </c>
      <c r="E789" s="6" t="s">
        <v>447</v>
      </c>
      <c r="F789" s="6" t="s">
        <v>453</v>
      </c>
      <c r="G789" s="6" t="s">
        <v>449</v>
      </c>
      <c r="H789" s="6" t="s">
        <v>450</v>
      </c>
      <c r="I789" s="6" t="s">
        <v>30</v>
      </c>
      <c r="J789" s="6" t="s">
        <v>20</v>
      </c>
      <c r="K789" s="7">
        <v>6.1</v>
      </c>
    </row>
    <row r="790" spans="1:11" s="4" customFormat="1" ht="20.399999999999999" x14ac:dyDescent="0.2">
      <c r="A790" s="6" t="str">
        <f>"0005610225"</f>
        <v>0005610225</v>
      </c>
      <c r="B790" s="6" t="str">
        <f>"089487"</f>
        <v>089487</v>
      </c>
      <c r="C790" s="6" t="s">
        <v>452</v>
      </c>
      <c r="D790" s="6" t="s">
        <v>446</v>
      </c>
      <c r="E790" s="6" t="s">
        <v>447</v>
      </c>
      <c r="F790" s="6" t="s">
        <v>453</v>
      </c>
      <c r="G790" s="6" t="s">
        <v>449</v>
      </c>
      <c r="H790" s="6" t="s">
        <v>450</v>
      </c>
      <c r="I790" s="6" t="s">
        <v>37</v>
      </c>
      <c r="J790" s="6" t="s">
        <v>20</v>
      </c>
      <c r="K790" s="7">
        <v>6.1</v>
      </c>
    </row>
    <row r="791" spans="1:11" s="4" customFormat="1" ht="10.199999999999999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7"/>
    </row>
    <row r="792" spans="1:11" s="4" customFormat="1" ht="10.199999999999999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7"/>
    </row>
    <row r="793" spans="1:11" s="4" customFormat="1" ht="10.199999999999999" x14ac:dyDescent="0.2">
      <c r="A793" s="6" t="str">
        <f>"0008960010"</f>
        <v>0008960010</v>
      </c>
      <c r="B793" s="6" t="str">
        <f>"076950"</f>
        <v>076950</v>
      </c>
      <c r="C793" s="6" t="s">
        <v>454</v>
      </c>
      <c r="D793" s="6" t="s">
        <v>455</v>
      </c>
      <c r="E793" s="6" t="s">
        <v>13</v>
      </c>
      <c r="F793" s="6">
        <v>10</v>
      </c>
      <c r="G793" s="6" t="s">
        <v>456</v>
      </c>
      <c r="H793" s="6" t="s">
        <v>457</v>
      </c>
      <c r="I793" s="6" t="s">
        <v>441</v>
      </c>
      <c r="J793" s="6" t="s">
        <v>17</v>
      </c>
      <c r="K793" s="7">
        <v>28.61</v>
      </c>
    </row>
    <row r="794" spans="1:11" s="4" customFormat="1" ht="10.199999999999999" x14ac:dyDescent="0.2">
      <c r="A794" s="6" t="str">
        <f>"0008960010"</f>
        <v>0008960010</v>
      </c>
      <c r="B794" s="6" t="str">
        <f>"375518"</f>
        <v>375518</v>
      </c>
      <c r="C794" s="6" t="s">
        <v>458</v>
      </c>
      <c r="D794" s="6" t="s">
        <v>455</v>
      </c>
      <c r="E794" s="6" t="s">
        <v>13</v>
      </c>
      <c r="F794" s="6">
        <v>10</v>
      </c>
      <c r="G794" s="6" t="s">
        <v>456</v>
      </c>
      <c r="H794" s="6" t="s">
        <v>457</v>
      </c>
      <c r="I794" s="6" t="s">
        <v>28</v>
      </c>
      <c r="J794" s="6" t="s">
        <v>20</v>
      </c>
      <c r="K794" s="7">
        <v>17.170000000000002</v>
      </c>
    </row>
    <row r="795" spans="1:11" s="4" customFormat="1" ht="10.199999999999999" x14ac:dyDescent="0.2">
      <c r="A795" s="6" t="str">
        <f>"0008960010"</f>
        <v>0008960010</v>
      </c>
      <c r="B795" s="6" t="str">
        <f>"378197"</f>
        <v>378197</v>
      </c>
      <c r="C795" s="6" t="s">
        <v>459</v>
      </c>
      <c r="D795" s="6" t="s">
        <v>455</v>
      </c>
      <c r="E795" s="6" t="s">
        <v>13</v>
      </c>
      <c r="F795" s="6">
        <v>10</v>
      </c>
      <c r="G795" s="6" t="s">
        <v>456</v>
      </c>
      <c r="H795" s="6" t="s">
        <v>457</v>
      </c>
      <c r="I795" s="6" t="s">
        <v>211</v>
      </c>
      <c r="J795" s="6" t="s">
        <v>20</v>
      </c>
      <c r="K795" s="7">
        <v>17.170000000000002</v>
      </c>
    </row>
    <row r="796" spans="1:11" s="4" customFormat="1" ht="10.199999999999999" x14ac:dyDescent="0.2">
      <c r="A796" s="6" t="str">
        <f>"0008960010"</f>
        <v>0008960010</v>
      </c>
      <c r="B796" s="6" t="str">
        <f>"562748"</f>
        <v>562748</v>
      </c>
      <c r="C796" s="6" t="s">
        <v>460</v>
      </c>
      <c r="D796" s="6" t="s">
        <v>455</v>
      </c>
      <c r="E796" s="6" t="s">
        <v>13</v>
      </c>
      <c r="F796" s="6">
        <v>10</v>
      </c>
      <c r="G796" s="6" t="s">
        <v>456</v>
      </c>
      <c r="H796" s="6" t="s">
        <v>457</v>
      </c>
      <c r="I796" s="6" t="s">
        <v>37</v>
      </c>
      <c r="J796" s="6" t="s">
        <v>20</v>
      </c>
      <c r="K796" s="7">
        <v>17.170000000000002</v>
      </c>
    </row>
    <row r="797" spans="1:11" s="4" customFormat="1" ht="10.199999999999999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7"/>
    </row>
    <row r="798" spans="1:11" s="4" customFormat="1" ht="10.199999999999999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7"/>
    </row>
    <row r="799" spans="1:11" s="4" customFormat="1" ht="10.199999999999999" x14ac:dyDescent="0.2">
      <c r="A799" s="6" t="str">
        <f>"0014410007"</f>
        <v>0014410007</v>
      </c>
      <c r="B799" s="6" t="str">
        <f>"067144"</f>
        <v>067144</v>
      </c>
      <c r="C799" s="6" t="s">
        <v>461</v>
      </c>
      <c r="D799" s="6" t="s">
        <v>172</v>
      </c>
      <c r="E799" s="6" t="s">
        <v>13</v>
      </c>
      <c r="F799" s="6">
        <v>7</v>
      </c>
      <c r="G799" s="6" t="s">
        <v>462</v>
      </c>
      <c r="H799" s="6" t="s">
        <v>463</v>
      </c>
      <c r="I799" s="6" t="s">
        <v>86</v>
      </c>
      <c r="J799" s="6" t="s">
        <v>87</v>
      </c>
      <c r="K799" s="7">
        <v>21.14</v>
      </c>
    </row>
    <row r="800" spans="1:11" s="4" customFormat="1" ht="10.199999999999999" x14ac:dyDescent="0.2">
      <c r="A800" s="6" t="str">
        <f>"0014410007"</f>
        <v>0014410007</v>
      </c>
      <c r="B800" s="6" t="str">
        <f>"385813"</f>
        <v>385813</v>
      </c>
      <c r="C800" s="6" t="s">
        <v>461</v>
      </c>
      <c r="D800" s="6" t="s">
        <v>172</v>
      </c>
      <c r="E800" s="6" t="s">
        <v>13</v>
      </c>
      <c r="F800" s="6">
        <v>7</v>
      </c>
      <c r="G800" s="6" t="s">
        <v>462</v>
      </c>
      <c r="H800" s="6" t="s">
        <v>463</v>
      </c>
      <c r="I800" s="6" t="s">
        <v>189</v>
      </c>
      <c r="J800" s="6" t="s">
        <v>17</v>
      </c>
      <c r="K800" s="7">
        <v>21.14</v>
      </c>
    </row>
    <row r="801" spans="1:11" s="4" customFormat="1" ht="10.199999999999999" x14ac:dyDescent="0.2">
      <c r="A801" s="6" t="str">
        <f>"0014410007"</f>
        <v>0014410007</v>
      </c>
      <c r="B801" s="6" t="str">
        <f>"389253"</f>
        <v>389253</v>
      </c>
      <c r="C801" s="6" t="s">
        <v>464</v>
      </c>
      <c r="D801" s="6" t="s">
        <v>172</v>
      </c>
      <c r="E801" s="6" t="s">
        <v>13</v>
      </c>
      <c r="F801" s="6">
        <v>7</v>
      </c>
      <c r="G801" s="6" t="s">
        <v>462</v>
      </c>
      <c r="H801" s="6" t="s">
        <v>463</v>
      </c>
      <c r="I801" s="6" t="s">
        <v>65</v>
      </c>
      <c r="J801" s="6" t="s">
        <v>20</v>
      </c>
      <c r="K801" s="7">
        <v>12.68</v>
      </c>
    </row>
    <row r="802" spans="1:11" s="4" customFormat="1" ht="10.199999999999999" x14ac:dyDescent="0.2">
      <c r="A802" s="6" t="str">
        <f>"0014410007"</f>
        <v>0014410007</v>
      </c>
      <c r="B802" s="6" t="str">
        <f>"416460"</f>
        <v>416460</v>
      </c>
      <c r="C802" s="6" t="s">
        <v>465</v>
      </c>
      <c r="D802" s="6" t="s">
        <v>172</v>
      </c>
      <c r="E802" s="6" t="s">
        <v>13</v>
      </c>
      <c r="F802" s="6">
        <v>7</v>
      </c>
      <c r="G802" s="6" t="s">
        <v>462</v>
      </c>
      <c r="H802" s="6" t="s">
        <v>463</v>
      </c>
      <c r="I802" s="6" t="s">
        <v>28</v>
      </c>
      <c r="J802" s="6" t="s">
        <v>20</v>
      </c>
      <c r="K802" s="7">
        <v>12.68</v>
      </c>
    </row>
    <row r="803" spans="1:11" s="4" customFormat="1" ht="10.199999999999999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7"/>
    </row>
    <row r="804" spans="1:11" s="4" customFormat="1" ht="10.199999999999999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7"/>
    </row>
    <row r="805" spans="1:11" s="4" customFormat="1" ht="10.199999999999999" x14ac:dyDescent="0.2">
      <c r="A805" s="6" t="str">
        <f>"0014410010"</f>
        <v>0014410010</v>
      </c>
      <c r="B805" s="6" t="str">
        <f>"492411"</f>
        <v>492411</v>
      </c>
      <c r="C805" s="6" t="s">
        <v>461</v>
      </c>
      <c r="D805" s="6" t="s">
        <v>172</v>
      </c>
      <c r="E805" s="6" t="s">
        <v>13</v>
      </c>
      <c r="F805" s="6">
        <v>10</v>
      </c>
      <c r="G805" s="6" t="s">
        <v>462</v>
      </c>
      <c r="H805" s="6" t="s">
        <v>463</v>
      </c>
      <c r="I805" s="6" t="s">
        <v>189</v>
      </c>
      <c r="J805" s="6" t="s">
        <v>17</v>
      </c>
      <c r="K805" s="7">
        <v>30.21</v>
      </c>
    </row>
    <row r="806" spans="1:11" s="4" customFormat="1" ht="10.199999999999999" x14ac:dyDescent="0.2">
      <c r="A806" s="6" t="str">
        <f>"0014410010"</f>
        <v>0014410010</v>
      </c>
      <c r="B806" s="6" t="str">
        <f>"486730"</f>
        <v>486730</v>
      </c>
      <c r="C806" s="6" t="s">
        <v>464</v>
      </c>
      <c r="D806" s="6" t="s">
        <v>172</v>
      </c>
      <c r="E806" s="6" t="s">
        <v>13</v>
      </c>
      <c r="F806" s="6">
        <v>10</v>
      </c>
      <c r="G806" s="6" t="s">
        <v>462</v>
      </c>
      <c r="H806" s="6" t="s">
        <v>463</v>
      </c>
      <c r="I806" s="6" t="s">
        <v>65</v>
      </c>
      <c r="J806" s="6" t="s">
        <v>20</v>
      </c>
      <c r="K806" s="7">
        <v>18.13</v>
      </c>
    </row>
    <row r="807" spans="1:11" s="4" customFormat="1" ht="10.199999999999999" x14ac:dyDescent="0.2">
      <c r="A807" s="6" t="str">
        <f>"0014410010"</f>
        <v>0014410010</v>
      </c>
      <c r="B807" s="6" t="str">
        <f>"503941"</f>
        <v>503941</v>
      </c>
      <c r="C807" s="6" t="s">
        <v>465</v>
      </c>
      <c r="D807" s="6" t="s">
        <v>172</v>
      </c>
      <c r="E807" s="6" t="s">
        <v>13</v>
      </c>
      <c r="F807" s="6">
        <v>10</v>
      </c>
      <c r="G807" s="6" t="s">
        <v>462</v>
      </c>
      <c r="H807" s="6" t="s">
        <v>463</v>
      </c>
      <c r="I807" s="6" t="s">
        <v>28</v>
      </c>
      <c r="J807" s="6" t="s">
        <v>20</v>
      </c>
      <c r="K807" s="7">
        <v>18.13</v>
      </c>
    </row>
    <row r="808" spans="1:11" s="4" customFormat="1" ht="10.199999999999999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7"/>
    </row>
    <row r="809" spans="1:11" s="4" customFormat="1" ht="10.199999999999999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7"/>
    </row>
    <row r="810" spans="1:11" s="4" customFormat="1" ht="20.399999999999999" x14ac:dyDescent="0.2">
      <c r="A810" s="6" t="str">
        <f>"0011580005"</f>
        <v>0011580005</v>
      </c>
      <c r="B810" s="6" t="str">
        <f>"031303"</f>
        <v>031303</v>
      </c>
      <c r="C810" s="6" t="s">
        <v>466</v>
      </c>
      <c r="D810" s="6" t="s">
        <v>22</v>
      </c>
      <c r="E810" s="6" t="s">
        <v>314</v>
      </c>
      <c r="F810" s="6">
        <v>5</v>
      </c>
      <c r="G810" s="6" t="s">
        <v>467</v>
      </c>
      <c r="H810" s="6" t="s">
        <v>468</v>
      </c>
      <c r="I810" s="6" t="s">
        <v>469</v>
      </c>
      <c r="J810" s="6" t="s">
        <v>17</v>
      </c>
      <c r="K810" s="7">
        <v>95.95</v>
      </c>
    </row>
    <row r="811" spans="1:11" s="4" customFormat="1" ht="30.6" x14ac:dyDescent="0.2">
      <c r="A811" s="6" t="str">
        <f>"0011580005"</f>
        <v>0011580005</v>
      </c>
      <c r="B811" s="6" t="str">
        <f>"090758"</f>
        <v>090758</v>
      </c>
      <c r="C811" s="6" t="s">
        <v>470</v>
      </c>
      <c r="D811" s="6" t="s">
        <v>22</v>
      </c>
      <c r="E811" s="6" t="s">
        <v>314</v>
      </c>
      <c r="F811" s="6">
        <v>5</v>
      </c>
      <c r="G811" s="6" t="s">
        <v>467</v>
      </c>
      <c r="H811" s="6" t="s">
        <v>468</v>
      </c>
      <c r="I811" s="6" t="s">
        <v>471</v>
      </c>
      <c r="J811" s="6" t="s">
        <v>20</v>
      </c>
      <c r="K811" s="7">
        <v>57.57</v>
      </c>
    </row>
    <row r="812" spans="1:11" s="4" customFormat="1" ht="10.199999999999999" x14ac:dyDescent="0.2">
      <c r="A812" s="6" t="str">
        <f>"0011580005"</f>
        <v>0011580005</v>
      </c>
      <c r="B812" s="6" t="str">
        <f>"439108"</f>
        <v>439108</v>
      </c>
      <c r="C812" s="6" t="s">
        <v>472</v>
      </c>
      <c r="D812" s="6" t="s">
        <v>22</v>
      </c>
      <c r="E812" s="6" t="s">
        <v>314</v>
      </c>
      <c r="F812" s="6">
        <v>5</v>
      </c>
      <c r="G812" s="6" t="s">
        <v>467</v>
      </c>
      <c r="H812" s="6" t="s">
        <v>468</v>
      </c>
      <c r="I812" s="6" t="s">
        <v>90</v>
      </c>
      <c r="J812" s="6" t="s">
        <v>20</v>
      </c>
      <c r="K812" s="7">
        <v>57.57</v>
      </c>
    </row>
    <row r="813" spans="1:11" s="4" customFormat="1" ht="10.199999999999999" x14ac:dyDescent="0.2">
      <c r="A813" s="6" t="str">
        <f>"0011580005"</f>
        <v>0011580005</v>
      </c>
      <c r="B813" s="6" t="str">
        <f>"471119"</f>
        <v>471119</v>
      </c>
      <c r="C813" s="6" t="s">
        <v>473</v>
      </c>
      <c r="D813" s="6" t="s">
        <v>22</v>
      </c>
      <c r="E813" s="6" t="s">
        <v>314</v>
      </c>
      <c r="F813" s="6">
        <v>5</v>
      </c>
      <c r="G813" s="6" t="s">
        <v>467</v>
      </c>
      <c r="H813" s="6" t="s">
        <v>468</v>
      </c>
      <c r="I813" s="6" t="s">
        <v>19</v>
      </c>
      <c r="J813" s="6" t="s">
        <v>20</v>
      </c>
      <c r="K813" s="7">
        <v>57.57</v>
      </c>
    </row>
    <row r="814" spans="1:11" s="4" customFormat="1" ht="10.199999999999999" x14ac:dyDescent="0.2">
      <c r="A814" s="6" t="str">
        <f>"0011580005"</f>
        <v>0011580005</v>
      </c>
      <c r="B814" s="6" t="str">
        <f>"477058"</f>
        <v>477058</v>
      </c>
      <c r="C814" s="6" t="s">
        <v>472</v>
      </c>
      <c r="D814" s="6" t="s">
        <v>22</v>
      </c>
      <c r="E814" s="6" t="s">
        <v>314</v>
      </c>
      <c r="F814" s="6">
        <v>5</v>
      </c>
      <c r="G814" s="6" t="s">
        <v>467</v>
      </c>
      <c r="H814" s="6" t="s">
        <v>468</v>
      </c>
      <c r="I814" s="6" t="s">
        <v>90</v>
      </c>
      <c r="J814" s="6" t="s">
        <v>20</v>
      </c>
      <c r="K814" s="7">
        <v>57.57</v>
      </c>
    </row>
    <row r="815" spans="1:11" s="4" customFormat="1" ht="10.199999999999999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7"/>
    </row>
    <row r="816" spans="1:11" s="4" customFormat="1" ht="10.199999999999999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7"/>
    </row>
    <row r="817" spans="1:11" s="4" customFormat="1" ht="20.399999999999999" x14ac:dyDescent="0.2">
      <c r="A817" s="6" t="str">
        <f>"0011590005"</f>
        <v>0011590005</v>
      </c>
      <c r="B817" s="6" t="str">
        <f>"031325"</f>
        <v>031325</v>
      </c>
      <c r="C817" s="6" t="s">
        <v>466</v>
      </c>
      <c r="D817" s="6" t="s">
        <v>230</v>
      </c>
      <c r="E817" s="6" t="s">
        <v>314</v>
      </c>
      <c r="F817" s="6">
        <v>5</v>
      </c>
      <c r="G817" s="6" t="s">
        <v>467</v>
      </c>
      <c r="H817" s="6" t="s">
        <v>468</v>
      </c>
      <c r="I817" s="6" t="s">
        <v>469</v>
      </c>
      <c r="J817" s="6" t="s">
        <v>17</v>
      </c>
      <c r="K817" s="7">
        <v>459.33</v>
      </c>
    </row>
    <row r="818" spans="1:11" s="4" customFormat="1" ht="30.6" x14ac:dyDescent="0.2">
      <c r="A818" s="6" t="str">
        <f>"0011590005"</f>
        <v>0011590005</v>
      </c>
      <c r="B818" s="6" t="str">
        <f>"090781"</f>
        <v>090781</v>
      </c>
      <c r="C818" s="6" t="s">
        <v>470</v>
      </c>
      <c r="D818" s="6" t="s">
        <v>230</v>
      </c>
      <c r="E818" s="6" t="s">
        <v>314</v>
      </c>
      <c r="F818" s="6">
        <v>5</v>
      </c>
      <c r="G818" s="6" t="s">
        <v>467</v>
      </c>
      <c r="H818" s="6" t="s">
        <v>468</v>
      </c>
      <c r="I818" s="6" t="s">
        <v>471</v>
      </c>
      <c r="J818" s="6" t="s">
        <v>20</v>
      </c>
      <c r="K818" s="7">
        <v>275.60000000000002</v>
      </c>
    </row>
    <row r="819" spans="1:11" s="4" customFormat="1" ht="10.199999999999999" x14ac:dyDescent="0.2">
      <c r="A819" s="6" t="str">
        <f>"0011590005"</f>
        <v>0011590005</v>
      </c>
      <c r="B819" s="6" t="str">
        <f>"107454"</f>
        <v>107454</v>
      </c>
      <c r="C819" s="6" t="s">
        <v>472</v>
      </c>
      <c r="D819" s="6" t="s">
        <v>230</v>
      </c>
      <c r="E819" s="6" t="s">
        <v>314</v>
      </c>
      <c r="F819" s="6">
        <v>5</v>
      </c>
      <c r="G819" s="6" t="s">
        <v>467</v>
      </c>
      <c r="H819" s="6" t="s">
        <v>468</v>
      </c>
      <c r="I819" s="6" t="s">
        <v>90</v>
      </c>
      <c r="J819" s="6" t="s">
        <v>20</v>
      </c>
      <c r="K819" s="7">
        <v>275.60000000000002</v>
      </c>
    </row>
    <row r="820" spans="1:11" s="4" customFormat="1" ht="10.199999999999999" x14ac:dyDescent="0.2">
      <c r="A820" s="6" t="str">
        <f>"0011590005"</f>
        <v>0011590005</v>
      </c>
      <c r="B820" s="6" t="str">
        <f>"148003"</f>
        <v>148003</v>
      </c>
      <c r="C820" s="6" t="s">
        <v>473</v>
      </c>
      <c r="D820" s="6" t="s">
        <v>230</v>
      </c>
      <c r="E820" s="6" t="s">
        <v>314</v>
      </c>
      <c r="F820" s="6">
        <v>5</v>
      </c>
      <c r="G820" s="6" t="s">
        <v>467</v>
      </c>
      <c r="H820" s="6" t="s">
        <v>468</v>
      </c>
      <c r="I820" s="6" t="s">
        <v>19</v>
      </c>
      <c r="J820" s="6" t="s">
        <v>20</v>
      </c>
      <c r="K820" s="7">
        <v>275.60000000000002</v>
      </c>
    </row>
    <row r="821" spans="1:11" s="4" customFormat="1" ht="10.199999999999999" x14ac:dyDescent="0.2">
      <c r="A821" s="6" t="str">
        <f>"0011590005"</f>
        <v>0011590005</v>
      </c>
      <c r="B821" s="6" t="str">
        <f>"520936"</f>
        <v>520936</v>
      </c>
      <c r="C821" s="6" t="s">
        <v>472</v>
      </c>
      <c r="D821" s="6" t="s">
        <v>230</v>
      </c>
      <c r="E821" s="6" t="s">
        <v>314</v>
      </c>
      <c r="F821" s="6">
        <v>5</v>
      </c>
      <c r="G821" s="6" t="s">
        <v>467</v>
      </c>
      <c r="H821" s="6" t="s">
        <v>468</v>
      </c>
      <c r="I821" s="6" t="s">
        <v>90</v>
      </c>
      <c r="J821" s="6" t="s">
        <v>20</v>
      </c>
      <c r="K821" s="7">
        <v>275.60000000000002</v>
      </c>
    </row>
    <row r="822" spans="1:11" s="4" customFormat="1" ht="10.199999999999999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7"/>
    </row>
    <row r="823" spans="1:11" s="4" customFormat="1" ht="10.199999999999999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7"/>
    </row>
    <row r="824" spans="1:11" s="4" customFormat="1" ht="10.199999999999999" x14ac:dyDescent="0.2">
      <c r="A824" s="6" t="str">
        <f t="shared" ref="A824:A830" si="25">"0013480120"</f>
        <v>0013480120</v>
      </c>
      <c r="B824" s="6" t="str">
        <f>"397752"</f>
        <v>397752</v>
      </c>
      <c r="C824" s="6" t="s">
        <v>474</v>
      </c>
      <c r="D824" s="6" t="s">
        <v>455</v>
      </c>
      <c r="E824" s="6" t="s">
        <v>13</v>
      </c>
      <c r="F824" s="6">
        <v>120</v>
      </c>
      <c r="G824" s="6" t="s">
        <v>475</v>
      </c>
      <c r="H824" s="6" t="s">
        <v>476</v>
      </c>
      <c r="I824" s="6" t="s">
        <v>477</v>
      </c>
      <c r="J824" s="6" t="s">
        <v>17</v>
      </c>
      <c r="K824" s="7">
        <v>342.88</v>
      </c>
    </row>
    <row r="825" spans="1:11" s="4" customFormat="1" ht="10.199999999999999" x14ac:dyDescent="0.2">
      <c r="A825" s="6" t="str">
        <f t="shared" si="25"/>
        <v>0013480120</v>
      </c>
      <c r="B825" s="6" t="str">
        <f>"596233"</f>
        <v>596233</v>
      </c>
      <c r="C825" s="6" t="s">
        <v>474</v>
      </c>
      <c r="D825" s="6" t="s">
        <v>455</v>
      </c>
      <c r="E825" s="6" t="s">
        <v>13</v>
      </c>
      <c r="F825" s="6">
        <v>120</v>
      </c>
      <c r="G825" s="6" t="s">
        <v>475</v>
      </c>
      <c r="H825" s="6" t="s">
        <v>476</v>
      </c>
      <c r="I825" s="6" t="s">
        <v>86</v>
      </c>
      <c r="J825" s="6" t="s">
        <v>87</v>
      </c>
      <c r="K825" s="7">
        <v>342.88</v>
      </c>
    </row>
    <row r="826" spans="1:11" s="4" customFormat="1" ht="10.199999999999999" x14ac:dyDescent="0.2">
      <c r="A826" s="6" t="str">
        <f t="shared" si="25"/>
        <v>0013480120</v>
      </c>
      <c r="B826" s="6" t="str">
        <f>"070137"</f>
        <v>070137</v>
      </c>
      <c r="C826" s="6" t="s">
        <v>478</v>
      </c>
      <c r="D826" s="6" t="s">
        <v>455</v>
      </c>
      <c r="E826" s="6" t="s">
        <v>13</v>
      </c>
      <c r="F826" s="6">
        <v>120</v>
      </c>
      <c r="G826" s="6" t="s">
        <v>475</v>
      </c>
      <c r="H826" s="6" t="s">
        <v>476</v>
      </c>
      <c r="I826" s="6" t="s">
        <v>92</v>
      </c>
      <c r="J826" s="6" t="s">
        <v>20</v>
      </c>
      <c r="K826" s="7">
        <v>205.73</v>
      </c>
    </row>
    <row r="827" spans="1:11" s="4" customFormat="1" ht="30.6" x14ac:dyDescent="0.2">
      <c r="A827" s="6" t="str">
        <f t="shared" si="25"/>
        <v>0013480120</v>
      </c>
      <c r="B827" s="6" t="str">
        <f>"104748"</f>
        <v>104748</v>
      </c>
      <c r="C827" s="6" t="s">
        <v>479</v>
      </c>
      <c r="D827" s="6" t="s">
        <v>455</v>
      </c>
      <c r="E827" s="6" t="s">
        <v>13</v>
      </c>
      <c r="F827" s="6">
        <v>120</v>
      </c>
      <c r="G827" s="6" t="s">
        <v>475</v>
      </c>
      <c r="H827" s="6" t="s">
        <v>476</v>
      </c>
      <c r="I827" s="6" t="s">
        <v>471</v>
      </c>
      <c r="J827" s="6" t="s">
        <v>20</v>
      </c>
      <c r="K827" s="7">
        <v>205.73</v>
      </c>
    </row>
    <row r="828" spans="1:11" s="4" customFormat="1" ht="10.199999999999999" x14ac:dyDescent="0.2">
      <c r="A828" s="6" t="str">
        <f t="shared" si="25"/>
        <v>0013480120</v>
      </c>
      <c r="B828" s="6" t="str">
        <f>"106477"</f>
        <v>106477</v>
      </c>
      <c r="C828" s="6" t="s">
        <v>480</v>
      </c>
      <c r="D828" s="6" t="s">
        <v>455</v>
      </c>
      <c r="E828" s="6" t="s">
        <v>13</v>
      </c>
      <c r="F828" s="6">
        <v>120</v>
      </c>
      <c r="G828" s="6" t="s">
        <v>475</v>
      </c>
      <c r="H828" s="6" t="s">
        <v>476</v>
      </c>
      <c r="I828" s="6" t="s">
        <v>211</v>
      </c>
      <c r="J828" s="6" t="s">
        <v>20</v>
      </c>
      <c r="K828" s="7">
        <v>205.73</v>
      </c>
    </row>
    <row r="829" spans="1:11" s="4" customFormat="1" ht="10.199999999999999" x14ac:dyDescent="0.2">
      <c r="A829" s="6" t="str">
        <f t="shared" si="25"/>
        <v>0013480120</v>
      </c>
      <c r="B829" s="6" t="str">
        <f>"398138"</f>
        <v>398138</v>
      </c>
      <c r="C829" s="6" t="s">
        <v>481</v>
      </c>
      <c r="D829" s="6" t="s">
        <v>455</v>
      </c>
      <c r="E829" s="6" t="s">
        <v>13</v>
      </c>
      <c r="F829" s="6">
        <v>120</v>
      </c>
      <c r="G829" s="6" t="s">
        <v>475</v>
      </c>
      <c r="H829" s="6" t="s">
        <v>476</v>
      </c>
      <c r="I829" s="6" t="s">
        <v>90</v>
      </c>
      <c r="J829" s="6" t="s">
        <v>20</v>
      </c>
      <c r="K829" s="7">
        <v>205.73</v>
      </c>
    </row>
    <row r="830" spans="1:11" s="4" customFormat="1" ht="10.199999999999999" x14ac:dyDescent="0.2">
      <c r="A830" s="6" t="str">
        <f t="shared" si="25"/>
        <v>0013480120</v>
      </c>
      <c r="B830" s="6" t="str">
        <f>"459418"</f>
        <v>459418</v>
      </c>
      <c r="C830" s="6" t="s">
        <v>482</v>
      </c>
      <c r="D830" s="6" t="s">
        <v>455</v>
      </c>
      <c r="E830" s="6" t="s">
        <v>13</v>
      </c>
      <c r="F830" s="6">
        <v>120</v>
      </c>
      <c r="G830" s="6" t="s">
        <v>475</v>
      </c>
      <c r="H830" s="6" t="s">
        <v>476</v>
      </c>
      <c r="I830" s="6" t="s">
        <v>35</v>
      </c>
      <c r="J830" s="6" t="s">
        <v>20</v>
      </c>
      <c r="K830" s="7">
        <v>205.73</v>
      </c>
    </row>
    <row r="831" spans="1:11" s="4" customFormat="1" ht="10.199999999999999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7"/>
    </row>
    <row r="832" spans="1:11" s="4" customFormat="1" ht="10.199999999999999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7"/>
    </row>
    <row r="833" spans="1:11" s="4" customFormat="1" ht="10.199999999999999" x14ac:dyDescent="0.2">
      <c r="A833" s="6" t="str">
        <f>"0013490060"</f>
        <v>0013490060</v>
      </c>
      <c r="B833" s="6" t="str">
        <f>"397745"</f>
        <v>397745</v>
      </c>
      <c r="C833" s="6" t="s">
        <v>474</v>
      </c>
      <c r="D833" s="6" t="s">
        <v>438</v>
      </c>
      <c r="E833" s="6" t="s">
        <v>13</v>
      </c>
      <c r="F833" s="6">
        <v>60</v>
      </c>
      <c r="G833" s="6" t="s">
        <v>475</v>
      </c>
      <c r="H833" s="6" t="s">
        <v>476</v>
      </c>
      <c r="I833" s="6" t="s">
        <v>477</v>
      </c>
      <c r="J833" s="6" t="s">
        <v>17</v>
      </c>
      <c r="K833" s="7">
        <v>51.53</v>
      </c>
    </row>
    <row r="834" spans="1:11" s="4" customFormat="1" ht="30.6" x14ac:dyDescent="0.2">
      <c r="A834" s="6" t="str">
        <f>"0013490060"</f>
        <v>0013490060</v>
      </c>
      <c r="B834" s="6" t="str">
        <f>"528346"</f>
        <v>528346</v>
      </c>
      <c r="C834" s="6" t="s">
        <v>479</v>
      </c>
      <c r="D834" s="6" t="s">
        <v>438</v>
      </c>
      <c r="E834" s="6" t="s">
        <v>13</v>
      </c>
      <c r="F834" s="6">
        <v>60</v>
      </c>
      <c r="G834" s="6" t="s">
        <v>475</v>
      </c>
      <c r="H834" s="6" t="s">
        <v>476</v>
      </c>
      <c r="I834" s="6" t="s">
        <v>471</v>
      </c>
      <c r="J834" s="6" t="s">
        <v>20</v>
      </c>
      <c r="K834" s="7">
        <v>30.92</v>
      </c>
    </row>
    <row r="835" spans="1:11" s="4" customFormat="1" ht="10.199999999999999" x14ac:dyDescent="0.2">
      <c r="A835" s="6" t="str">
        <f>"0013490060"</f>
        <v>0013490060</v>
      </c>
      <c r="B835" s="6" t="str">
        <f>"535002"</f>
        <v>535002</v>
      </c>
      <c r="C835" s="6" t="s">
        <v>481</v>
      </c>
      <c r="D835" s="6" t="s">
        <v>438</v>
      </c>
      <c r="E835" s="6" t="s">
        <v>13</v>
      </c>
      <c r="F835" s="6">
        <v>60</v>
      </c>
      <c r="G835" s="6" t="s">
        <v>475</v>
      </c>
      <c r="H835" s="6" t="s">
        <v>476</v>
      </c>
      <c r="I835" s="6" t="s">
        <v>90</v>
      </c>
      <c r="J835" s="6" t="s">
        <v>20</v>
      </c>
      <c r="K835" s="7">
        <v>30.92</v>
      </c>
    </row>
    <row r="836" spans="1:11" s="4" customFormat="1" ht="10.199999999999999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7"/>
    </row>
    <row r="837" spans="1:11" s="4" customFormat="1" ht="10.199999999999999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7"/>
    </row>
    <row r="838" spans="1:11" s="4" customFormat="1" ht="10.199999999999999" x14ac:dyDescent="0.2">
      <c r="A838" s="6" t="str">
        <f>"0008000100"</f>
        <v>0008000100</v>
      </c>
      <c r="B838" s="6" t="str">
        <f>"386953"</f>
        <v>386953</v>
      </c>
      <c r="C838" s="6" t="s">
        <v>483</v>
      </c>
      <c r="D838" s="6" t="s">
        <v>105</v>
      </c>
      <c r="E838" s="6" t="s">
        <v>13</v>
      </c>
      <c r="F838" s="6">
        <v>98</v>
      </c>
      <c r="G838" s="6" t="s">
        <v>484</v>
      </c>
      <c r="H838" s="6" t="s">
        <v>485</v>
      </c>
      <c r="I838" s="6" t="s">
        <v>49</v>
      </c>
      <c r="J838" s="6" t="s">
        <v>17</v>
      </c>
      <c r="K838" s="7">
        <v>334.77</v>
      </c>
    </row>
    <row r="839" spans="1:11" s="4" customFormat="1" ht="10.199999999999999" x14ac:dyDescent="0.2">
      <c r="A839" s="6" t="str">
        <f>"0008000100"</f>
        <v>0008000100</v>
      </c>
      <c r="B839" s="6" t="str">
        <f>"079597"</f>
        <v>079597</v>
      </c>
      <c r="C839" s="6" t="s">
        <v>486</v>
      </c>
      <c r="D839" s="6" t="s">
        <v>105</v>
      </c>
      <c r="E839" s="6" t="s">
        <v>13</v>
      </c>
      <c r="F839" s="6">
        <v>100</v>
      </c>
      <c r="G839" s="6" t="s">
        <v>484</v>
      </c>
      <c r="H839" s="6" t="s">
        <v>485</v>
      </c>
      <c r="I839" s="6" t="s">
        <v>274</v>
      </c>
      <c r="J839" s="6" t="s">
        <v>20</v>
      </c>
      <c r="K839" s="7">
        <v>204.95</v>
      </c>
    </row>
    <row r="840" spans="1:11" s="4" customFormat="1" ht="10.199999999999999" x14ac:dyDescent="0.2">
      <c r="A840" s="6" t="str">
        <f>"0008000100"</f>
        <v>0008000100</v>
      </c>
      <c r="B840" s="6" t="str">
        <f>"425938"</f>
        <v>425938</v>
      </c>
      <c r="C840" s="6" t="s">
        <v>487</v>
      </c>
      <c r="D840" s="6" t="s">
        <v>105</v>
      </c>
      <c r="E840" s="6" t="s">
        <v>13</v>
      </c>
      <c r="F840" s="6">
        <v>100</v>
      </c>
      <c r="G840" s="6" t="s">
        <v>484</v>
      </c>
      <c r="H840" s="6" t="s">
        <v>485</v>
      </c>
      <c r="I840" s="6" t="s">
        <v>37</v>
      </c>
      <c r="J840" s="6" t="s">
        <v>20</v>
      </c>
      <c r="K840" s="7">
        <v>204.95</v>
      </c>
    </row>
    <row r="841" spans="1:11" s="4" customFormat="1" ht="10.199999999999999" x14ac:dyDescent="0.2">
      <c r="A841" s="6" t="str">
        <f>"0008000100"</f>
        <v>0008000100</v>
      </c>
      <c r="B841" s="6" t="str">
        <f>"093398"</f>
        <v>093398</v>
      </c>
      <c r="C841" s="6" t="s">
        <v>488</v>
      </c>
      <c r="D841" s="6" t="s">
        <v>105</v>
      </c>
      <c r="E841" s="6" t="s">
        <v>13</v>
      </c>
      <c r="F841" s="6">
        <v>100</v>
      </c>
      <c r="G841" s="6" t="s">
        <v>484</v>
      </c>
      <c r="H841" s="6" t="s">
        <v>485</v>
      </c>
      <c r="I841" s="6" t="s">
        <v>65</v>
      </c>
      <c r="J841" s="6" t="s">
        <v>20</v>
      </c>
      <c r="K841" s="7">
        <v>204.94</v>
      </c>
    </row>
    <row r="842" spans="1:11" s="4" customFormat="1" ht="10.199999999999999" x14ac:dyDescent="0.2">
      <c r="A842" s="6" t="str">
        <f>"0008000100"</f>
        <v>0008000100</v>
      </c>
      <c r="B842" s="6" t="str">
        <f>"099531"</f>
        <v>099531</v>
      </c>
      <c r="C842" s="6" t="s">
        <v>489</v>
      </c>
      <c r="D842" s="6" t="s">
        <v>105</v>
      </c>
      <c r="E842" s="6" t="s">
        <v>13</v>
      </c>
      <c r="F842" s="6">
        <v>98</v>
      </c>
      <c r="G842" s="6" t="s">
        <v>484</v>
      </c>
      <c r="H842" s="6" t="s">
        <v>485</v>
      </c>
      <c r="I842" s="6" t="s">
        <v>409</v>
      </c>
      <c r="J842" s="6" t="s">
        <v>20</v>
      </c>
      <c r="K842" s="7">
        <v>200.85</v>
      </c>
    </row>
    <row r="843" spans="1:11" s="4" customFormat="1" ht="10.199999999999999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7"/>
    </row>
    <row r="844" spans="1:11" s="4" customFormat="1" ht="10.199999999999999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7"/>
    </row>
    <row r="845" spans="1:11" s="4" customFormat="1" ht="10.199999999999999" x14ac:dyDescent="0.2">
      <c r="A845" s="6" t="str">
        <f>"0011870100"</f>
        <v>0011870100</v>
      </c>
      <c r="B845" s="6" t="str">
        <f>"161547"</f>
        <v>161547</v>
      </c>
      <c r="C845" s="6" t="s">
        <v>490</v>
      </c>
      <c r="D845" s="6" t="s">
        <v>491</v>
      </c>
      <c r="E845" s="6" t="s">
        <v>382</v>
      </c>
      <c r="F845" s="6">
        <v>100</v>
      </c>
      <c r="G845" s="6" t="s">
        <v>492</v>
      </c>
      <c r="H845" s="6" t="s">
        <v>493</v>
      </c>
      <c r="I845" s="6" t="s">
        <v>375</v>
      </c>
      <c r="J845" s="6" t="s">
        <v>17</v>
      </c>
      <c r="K845" s="7">
        <v>368.29</v>
      </c>
    </row>
    <row r="846" spans="1:11" s="4" customFormat="1" ht="10.199999999999999" x14ac:dyDescent="0.2">
      <c r="A846" s="6" t="str">
        <f>"0011870100"</f>
        <v>0011870100</v>
      </c>
      <c r="B846" s="6" t="str">
        <f>"061670"</f>
        <v>061670</v>
      </c>
      <c r="C846" s="6" t="s">
        <v>494</v>
      </c>
      <c r="D846" s="6" t="s">
        <v>491</v>
      </c>
      <c r="E846" s="6" t="s">
        <v>13</v>
      </c>
      <c r="F846" s="6">
        <v>100</v>
      </c>
      <c r="G846" s="6" t="s">
        <v>492</v>
      </c>
      <c r="H846" s="6" t="s">
        <v>493</v>
      </c>
      <c r="I846" s="6" t="s">
        <v>409</v>
      </c>
      <c r="J846" s="6" t="s">
        <v>20</v>
      </c>
      <c r="K846" s="7">
        <v>220.97</v>
      </c>
    </row>
    <row r="847" spans="1:11" s="4" customFormat="1" ht="10.199999999999999" x14ac:dyDescent="0.2">
      <c r="A847" s="6" t="str">
        <f>"0011870100"</f>
        <v>0011870100</v>
      </c>
      <c r="B847" s="6" t="str">
        <f>"159610"</f>
        <v>159610</v>
      </c>
      <c r="C847" s="6" t="s">
        <v>495</v>
      </c>
      <c r="D847" s="6" t="s">
        <v>491</v>
      </c>
      <c r="E847" s="6" t="s">
        <v>382</v>
      </c>
      <c r="F847" s="6">
        <v>100</v>
      </c>
      <c r="G847" s="6" t="s">
        <v>492</v>
      </c>
      <c r="H847" s="6" t="s">
        <v>493</v>
      </c>
      <c r="I847" s="6" t="s">
        <v>375</v>
      </c>
      <c r="J847" s="6" t="s">
        <v>20</v>
      </c>
      <c r="K847" s="7">
        <v>220.97</v>
      </c>
    </row>
    <row r="848" spans="1:11" s="4" customFormat="1" ht="10.199999999999999" x14ac:dyDescent="0.2">
      <c r="A848" s="6" t="str">
        <f>"0011870100"</f>
        <v>0011870100</v>
      </c>
      <c r="B848" s="6" t="str">
        <f>"171837"</f>
        <v>171837</v>
      </c>
      <c r="C848" s="6" t="s">
        <v>496</v>
      </c>
      <c r="D848" s="6" t="s">
        <v>491</v>
      </c>
      <c r="E848" s="6" t="s">
        <v>13</v>
      </c>
      <c r="F848" s="6">
        <v>100</v>
      </c>
      <c r="G848" s="6" t="s">
        <v>492</v>
      </c>
      <c r="H848" s="6" t="s">
        <v>493</v>
      </c>
      <c r="I848" s="6" t="s">
        <v>90</v>
      </c>
      <c r="J848" s="6" t="s">
        <v>20</v>
      </c>
      <c r="K848" s="7">
        <v>220.97</v>
      </c>
    </row>
    <row r="849" spans="1:11" s="4" customFormat="1" ht="10.199999999999999" x14ac:dyDescent="0.2">
      <c r="A849" s="6" t="str">
        <f>"0011870100"</f>
        <v>0011870100</v>
      </c>
      <c r="B849" s="6" t="str">
        <f>"578819"</f>
        <v>578819</v>
      </c>
      <c r="C849" s="6" t="s">
        <v>497</v>
      </c>
      <c r="D849" s="6" t="s">
        <v>491</v>
      </c>
      <c r="E849" s="6" t="s">
        <v>13</v>
      </c>
      <c r="F849" s="6">
        <v>100</v>
      </c>
      <c r="G849" s="6" t="s">
        <v>492</v>
      </c>
      <c r="H849" s="6" t="s">
        <v>493</v>
      </c>
      <c r="I849" s="6" t="s">
        <v>19</v>
      </c>
      <c r="J849" s="6" t="s">
        <v>20</v>
      </c>
      <c r="K849" s="7">
        <v>220.97</v>
      </c>
    </row>
    <row r="850" spans="1:11" s="4" customFormat="1" ht="10.199999999999999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7"/>
    </row>
    <row r="851" spans="1:11" s="4" customFormat="1" ht="10.199999999999999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7"/>
    </row>
    <row r="852" spans="1:11" s="4" customFormat="1" ht="20.399999999999999" x14ac:dyDescent="0.2">
      <c r="A852" s="6" t="str">
        <f>"0010670100"</f>
        <v>0010670100</v>
      </c>
      <c r="B852" s="6" t="str">
        <f>"108829"</f>
        <v>108829</v>
      </c>
      <c r="C852" s="6" t="s">
        <v>498</v>
      </c>
      <c r="D852" s="6" t="s">
        <v>499</v>
      </c>
      <c r="E852" s="6" t="s">
        <v>314</v>
      </c>
      <c r="F852" s="6">
        <v>100</v>
      </c>
      <c r="G852" s="6" t="s">
        <v>500</v>
      </c>
      <c r="H852" s="6" t="s">
        <v>501</v>
      </c>
      <c r="I852" s="6" t="s">
        <v>477</v>
      </c>
      <c r="J852" s="6" t="s">
        <v>17</v>
      </c>
      <c r="K852" s="7">
        <v>118.25</v>
      </c>
    </row>
    <row r="853" spans="1:11" s="4" customFormat="1" ht="20.399999999999999" x14ac:dyDescent="0.2">
      <c r="A853" s="6" t="str">
        <f>"0010670100"</f>
        <v>0010670100</v>
      </c>
      <c r="B853" s="6" t="str">
        <f>"055073"</f>
        <v>055073</v>
      </c>
      <c r="C853" s="6" t="s">
        <v>502</v>
      </c>
      <c r="D853" s="6" t="s">
        <v>499</v>
      </c>
      <c r="E853" s="6" t="s">
        <v>314</v>
      </c>
      <c r="F853" s="6">
        <v>100</v>
      </c>
      <c r="G853" s="6" t="s">
        <v>500</v>
      </c>
      <c r="H853" s="6" t="s">
        <v>501</v>
      </c>
      <c r="I853" s="6" t="s">
        <v>92</v>
      </c>
      <c r="J853" s="6" t="s">
        <v>20</v>
      </c>
      <c r="K853" s="7">
        <v>70.95</v>
      </c>
    </row>
    <row r="854" spans="1:11" s="4" customFormat="1" ht="20.399999999999999" x14ac:dyDescent="0.2">
      <c r="A854" s="6" t="str">
        <f>"0010670100"</f>
        <v>0010670100</v>
      </c>
      <c r="B854" s="6" t="str">
        <f>"397053"</f>
        <v>397053</v>
      </c>
      <c r="C854" s="6" t="s">
        <v>503</v>
      </c>
      <c r="D854" s="6" t="s">
        <v>499</v>
      </c>
      <c r="E854" s="6" t="s">
        <v>314</v>
      </c>
      <c r="F854" s="6">
        <v>100</v>
      </c>
      <c r="G854" s="6" t="s">
        <v>500</v>
      </c>
      <c r="H854" s="6" t="s">
        <v>501</v>
      </c>
      <c r="I854" s="6" t="s">
        <v>90</v>
      </c>
      <c r="J854" s="6" t="s">
        <v>20</v>
      </c>
      <c r="K854" s="7">
        <v>70.95</v>
      </c>
    </row>
    <row r="855" spans="1:11" s="4" customFormat="1" ht="10.199999999999999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7"/>
    </row>
    <row r="856" spans="1:11" s="4" customFormat="1" ht="10.199999999999999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7"/>
    </row>
    <row r="857" spans="1:11" s="4" customFormat="1" ht="20.399999999999999" x14ac:dyDescent="0.2">
      <c r="A857" s="6" t="str">
        <f>"0010680050"</f>
        <v>0010680050</v>
      </c>
      <c r="B857" s="6" t="str">
        <f>"108837"</f>
        <v>108837</v>
      </c>
      <c r="C857" s="6" t="s">
        <v>498</v>
      </c>
      <c r="D857" s="6" t="s">
        <v>455</v>
      </c>
      <c r="E857" s="6" t="s">
        <v>82</v>
      </c>
      <c r="F857" s="6">
        <v>50</v>
      </c>
      <c r="G857" s="6" t="s">
        <v>500</v>
      </c>
      <c r="H857" s="6" t="s">
        <v>501</v>
      </c>
      <c r="I857" s="6" t="s">
        <v>477</v>
      </c>
      <c r="J857" s="6" t="s">
        <v>17</v>
      </c>
      <c r="K857" s="7">
        <v>118.25</v>
      </c>
    </row>
    <row r="858" spans="1:11" s="4" customFormat="1" ht="20.399999999999999" x14ac:dyDescent="0.2">
      <c r="A858" s="6" t="str">
        <f>"0010680050"</f>
        <v>0010680050</v>
      </c>
      <c r="B858" s="6" t="str">
        <f>"038365"</f>
        <v>038365</v>
      </c>
      <c r="C858" s="6" t="s">
        <v>504</v>
      </c>
      <c r="D858" s="6" t="s">
        <v>455</v>
      </c>
      <c r="E858" s="6" t="s">
        <v>13</v>
      </c>
      <c r="F858" s="6">
        <v>50</v>
      </c>
      <c r="G858" s="6" t="s">
        <v>500</v>
      </c>
      <c r="H858" s="6" t="s">
        <v>501</v>
      </c>
      <c r="I858" s="6" t="s">
        <v>35</v>
      </c>
      <c r="J858" s="6" t="s">
        <v>20</v>
      </c>
      <c r="K858" s="7">
        <v>70.95</v>
      </c>
    </row>
    <row r="859" spans="1:11" s="4" customFormat="1" ht="20.399999999999999" x14ac:dyDescent="0.2">
      <c r="A859" s="6" t="str">
        <f>"0010680050"</f>
        <v>0010680050</v>
      </c>
      <c r="B859" s="6" t="str">
        <f>"055084"</f>
        <v>055084</v>
      </c>
      <c r="C859" s="6" t="s">
        <v>502</v>
      </c>
      <c r="D859" s="6" t="s">
        <v>455</v>
      </c>
      <c r="E859" s="6" t="s">
        <v>13</v>
      </c>
      <c r="F859" s="6">
        <v>50</v>
      </c>
      <c r="G859" s="6" t="s">
        <v>500</v>
      </c>
      <c r="H859" s="6" t="s">
        <v>501</v>
      </c>
      <c r="I859" s="6" t="s">
        <v>92</v>
      </c>
      <c r="J859" s="6" t="s">
        <v>20</v>
      </c>
      <c r="K859" s="7">
        <v>70.95</v>
      </c>
    </row>
    <row r="860" spans="1:11" s="4" customFormat="1" ht="20.399999999999999" x14ac:dyDescent="0.2">
      <c r="A860" s="6" t="str">
        <f>"0010680050"</f>
        <v>0010680050</v>
      </c>
      <c r="B860" s="6" t="str">
        <f>"089338"</f>
        <v>089338</v>
      </c>
      <c r="C860" s="6" t="s">
        <v>505</v>
      </c>
      <c r="D860" s="6" t="s">
        <v>455</v>
      </c>
      <c r="E860" s="6" t="s">
        <v>13</v>
      </c>
      <c r="F860" s="6">
        <v>50</v>
      </c>
      <c r="G860" s="6" t="s">
        <v>500</v>
      </c>
      <c r="H860" s="6" t="s">
        <v>501</v>
      </c>
      <c r="I860" s="6" t="s">
        <v>37</v>
      </c>
      <c r="J860" s="6" t="s">
        <v>20</v>
      </c>
      <c r="K860" s="7">
        <v>70.95</v>
      </c>
    </row>
    <row r="861" spans="1:11" s="4" customFormat="1" ht="20.399999999999999" x14ac:dyDescent="0.2">
      <c r="A861" s="6" t="str">
        <f>"0010680050"</f>
        <v>0010680050</v>
      </c>
      <c r="B861" s="6" t="str">
        <f>"430600"</f>
        <v>430600</v>
      </c>
      <c r="C861" s="6" t="s">
        <v>503</v>
      </c>
      <c r="D861" s="6" t="s">
        <v>455</v>
      </c>
      <c r="E861" s="6" t="s">
        <v>13</v>
      </c>
      <c r="F861" s="6">
        <v>50</v>
      </c>
      <c r="G861" s="6" t="s">
        <v>500</v>
      </c>
      <c r="H861" s="6" t="s">
        <v>501</v>
      </c>
      <c r="I861" s="6" t="s">
        <v>90</v>
      </c>
      <c r="J861" s="6" t="s">
        <v>20</v>
      </c>
      <c r="K861" s="7">
        <v>70.95</v>
      </c>
    </row>
    <row r="862" spans="1:11" s="4" customFormat="1" ht="10.199999999999999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7"/>
    </row>
    <row r="863" spans="1:11" s="4" customFormat="1" ht="10.199999999999999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7"/>
    </row>
    <row r="864" spans="1:11" s="4" customFormat="1" ht="20.399999999999999" x14ac:dyDescent="0.2">
      <c r="A864" s="6" t="str">
        <f>"0011900030"</f>
        <v>0011900030</v>
      </c>
      <c r="B864" s="6" t="str">
        <f>"053397"</f>
        <v>053397</v>
      </c>
      <c r="C864" s="6" t="s">
        <v>506</v>
      </c>
      <c r="D864" s="6" t="s">
        <v>22</v>
      </c>
      <c r="E864" s="6" t="s">
        <v>13</v>
      </c>
      <c r="F864" s="6">
        <v>30</v>
      </c>
      <c r="G864" s="6" t="s">
        <v>507</v>
      </c>
      <c r="H864" s="6" t="s">
        <v>508</v>
      </c>
      <c r="I864" s="6" t="s">
        <v>509</v>
      </c>
      <c r="J864" s="6" t="s">
        <v>17</v>
      </c>
      <c r="K864" s="7">
        <v>58</v>
      </c>
    </row>
    <row r="865" spans="1:11" s="4" customFormat="1" ht="30.6" x14ac:dyDescent="0.2">
      <c r="A865" s="6" t="str">
        <f>"0011900030"</f>
        <v>0011900030</v>
      </c>
      <c r="B865" s="6" t="str">
        <f>"196939"</f>
        <v>196939</v>
      </c>
      <c r="C865" s="6" t="s">
        <v>510</v>
      </c>
      <c r="D865" s="6" t="s">
        <v>22</v>
      </c>
      <c r="E865" s="6" t="s">
        <v>13</v>
      </c>
      <c r="F865" s="6">
        <v>30</v>
      </c>
      <c r="G865" s="6" t="s">
        <v>507</v>
      </c>
      <c r="H865" s="6" t="s">
        <v>508</v>
      </c>
      <c r="I865" s="6" t="s">
        <v>471</v>
      </c>
      <c r="J865" s="6" t="s">
        <v>20</v>
      </c>
      <c r="K865" s="7">
        <v>34.799999999999997</v>
      </c>
    </row>
    <row r="866" spans="1:11" s="4" customFormat="1" ht="10.199999999999999" x14ac:dyDescent="0.2">
      <c r="A866" s="6" t="str">
        <f>"0011900030"</f>
        <v>0011900030</v>
      </c>
      <c r="B866" s="6" t="str">
        <f>"472892"</f>
        <v>472892</v>
      </c>
      <c r="C866" s="6" t="s">
        <v>511</v>
      </c>
      <c r="D866" s="6" t="s">
        <v>22</v>
      </c>
      <c r="E866" s="6" t="s">
        <v>13</v>
      </c>
      <c r="F866" s="6">
        <v>30</v>
      </c>
      <c r="G866" s="6" t="s">
        <v>507</v>
      </c>
      <c r="H866" s="6" t="s">
        <v>508</v>
      </c>
      <c r="I866" s="6" t="s">
        <v>65</v>
      </c>
      <c r="J866" s="6" t="s">
        <v>20</v>
      </c>
      <c r="K866" s="7">
        <v>34.799999999999997</v>
      </c>
    </row>
    <row r="867" spans="1:11" s="4" customFormat="1" ht="10.199999999999999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7"/>
    </row>
    <row r="868" spans="1:11" s="4" customFormat="1" ht="10.199999999999999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7"/>
    </row>
    <row r="869" spans="1:11" s="4" customFormat="1" ht="20.399999999999999" x14ac:dyDescent="0.2">
      <c r="A869" s="6" t="str">
        <f>"0011900100"</f>
        <v>0011900100</v>
      </c>
      <c r="B869" s="6" t="str">
        <f>"053413"</f>
        <v>053413</v>
      </c>
      <c r="C869" s="6" t="s">
        <v>506</v>
      </c>
      <c r="D869" s="6" t="s">
        <v>22</v>
      </c>
      <c r="E869" s="6" t="s">
        <v>13</v>
      </c>
      <c r="F869" s="6">
        <v>100</v>
      </c>
      <c r="G869" s="6" t="s">
        <v>507</v>
      </c>
      <c r="H869" s="6" t="s">
        <v>508</v>
      </c>
      <c r="I869" s="6" t="s">
        <v>509</v>
      </c>
      <c r="J869" s="6" t="s">
        <v>17</v>
      </c>
      <c r="K869" s="7">
        <v>175.76</v>
      </c>
    </row>
    <row r="870" spans="1:11" s="4" customFormat="1" ht="10.199999999999999" x14ac:dyDescent="0.2">
      <c r="A870" s="6" t="str">
        <f>"0011900100"</f>
        <v>0011900100</v>
      </c>
      <c r="B870" s="6" t="str">
        <f>"155273"</f>
        <v>155273</v>
      </c>
      <c r="C870" s="6" t="s">
        <v>511</v>
      </c>
      <c r="D870" s="6" t="s">
        <v>22</v>
      </c>
      <c r="E870" s="6" t="s">
        <v>13</v>
      </c>
      <c r="F870" s="6">
        <v>100</v>
      </c>
      <c r="G870" s="6" t="s">
        <v>507</v>
      </c>
      <c r="H870" s="6" t="s">
        <v>508</v>
      </c>
      <c r="I870" s="6" t="s">
        <v>65</v>
      </c>
      <c r="J870" s="6" t="s">
        <v>20</v>
      </c>
      <c r="K870" s="7">
        <v>105.46</v>
      </c>
    </row>
    <row r="871" spans="1:11" s="4" customFormat="1" ht="30.6" x14ac:dyDescent="0.2">
      <c r="A871" s="6" t="str">
        <f>"0011900100"</f>
        <v>0011900100</v>
      </c>
      <c r="B871" s="6" t="str">
        <f>"429989"</f>
        <v>429989</v>
      </c>
      <c r="C871" s="6" t="s">
        <v>510</v>
      </c>
      <c r="D871" s="6" t="s">
        <v>22</v>
      </c>
      <c r="E871" s="6" t="s">
        <v>13</v>
      </c>
      <c r="F871" s="6">
        <v>100</v>
      </c>
      <c r="G871" s="6" t="s">
        <v>507</v>
      </c>
      <c r="H871" s="6" t="s">
        <v>508</v>
      </c>
      <c r="I871" s="6" t="s">
        <v>471</v>
      </c>
      <c r="J871" s="6" t="s">
        <v>20</v>
      </c>
      <c r="K871" s="7">
        <v>105.46</v>
      </c>
    </row>
    <row r="872" spans="1:11" s="4" customFormat="1" ht="10.199999999999999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7"/>
    </row>
    <row r="873" spans="1:11" s="4" customFormat="1" ht="10.199999999999999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7"/>
    </row>
    <row r="874" spans="1:11" s="4" customFormat="1" ht="10.199999999999999" x14ac:dyDescent="0.2">
      <c r="A874" s="6" t="str">
        <f>"0002830030"</f>
        <v>0002830030</v>
      </c>
      <c r="B874" s="6" t="str">
        <f>"139063"</f>
        <v>139063</v>
      </c>
      <c r="C874" s="6" t="s">
        <v>512</v>
      </c>
      <c r="D874" s="6" t="s">
        <v>154</v>
      </c>
      <c r="E874" s="6" t="s">
        <v>23</v>
      </c>
      <c r="F874" s="6">
        <v>30</v>
      </c>
      <c r="G874" s="6" t="s">
        <v>513</v>
      </c>
      <c r="H874" s="6" t="s">
        <v>514</v>
      </c>
      <c r="I874" s="6" t="s">
        <v>63</v>
      </c>
      <c r="J874" s="6" t="s">
        <v>17</v>
      </c>
      <c r="K874" s="7">
        <v>4.28</v>
      </c>
    </row>
    <row r="875" spans="1:11" s="4" customFormat="1" ht="10.199999999999999" x14ac:dyDescent="0.2">
      <c r="A875" s="6" t="str">
        <f>"0002830030"</f>
        <v>0002830030</v>
      </c>
      <c r="B875" s="6" t="str">
        <f>"558064"</f>
        <v>558064</v>
      </c>
      <c r="C875" s="6" t="s">
        <v>515</v>
      </c>
      <c r="D875" s="6" t="s">
        <v>154</v>
      </c>
      <c r="E875" s="6" t="s">
        <v>23</v>
      </c>
      <c r="F875" s="6">
        <v>30</v>
      </c>
      <c r="G875" s="6" t="s">
        <v>513</v>
      </c>
      <c r="H875" s="6" t="s">
        <v>514</v>
      </c>
      <c r="I875" s="6" t="s">
        <v>19</v>
      </c>
      <c r="J875" s="6" t="s">
        <v>20</v>
      </c>
      <c r="K875" s="7">
        <v>4.1100000000000003</v>
      </c>
    </row>
    <row r="876" spans="1:11" s="4" customFormat="1" ht="10.199999999999999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7"/>
    </row>
    <row r="877" spans="1:11" s="4" customFormat="1" ht="10.199999999999999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7"/>
    </row>
    <row r="878" spans="1:11" s="4" customFormat="1" ht="10.199999999999999" x14ac:dyDescent="0.2">
      <c r="A878" s="6" t="str">
        <f>"0013390030"</f>
        <v>0013390030</v>
      </c>
      <c r="B878" s="6" t="str">
        <f>"001120"</f>
        <v>001120</v>
      </c>
      <c r="C878" s="6" t="s">
        <v>516</v>
      </c>
      <c r="D878" s="6" t="s">
        <v>230</v>
      </c>
      <c r="E878" s="6" t="s">
        <v>314</v>
      </c>
      <c r="F878" s="6">
        <v>30</v>
      </c>
      <c r="G878" s="6" t="s">
        <v>517</v>
      </c>
      <c r="H878" s="6" t="s">
        <v>518</v>
      </c>
      <c r="I878" s="6" t="s">
        <v>375</v>
      </c>
      <c r="J878" s="6" t="s">
        <v>17</v>
      </c>
      <c r="K878" s="7">
        <v>12.79</v>
      </c>
    </row>
    <row r="879" spans="1:11" s="4" customFormat="1" ht="10.199999999999999" x14ac:dyDescent="0.2">
      <c r="A879" s="6" t="str">
        <f>"0013390030"</f>
        <v>0013390030</v>
      </c>
      <c r="B879" s="6" t="str">
        <f>"119985"</f>
        <v>119985</v>
      </c>
      <c r="C879" s="6" t="s">
        <v>519</v>
      </c>
      <c r="D879" s="6" t="s">
        <v>230</v>
      </c>
      <c r="E879" s="6" t="s">
        <v>314</v>
      </c>
      <c r="F879" s="6">
        <v>30</v>
      </c>
      <c r="G879" s="6" t="s">
        <v>517</v>
      </c>
      <c r="H879" s="6" t="s">
        <v>518</v>
      </c>
      <c r="I879" s="6" t="s">
        <v>37</v>
      </c>
      <c r="J879" s="6" t="s">
        <v>20</v>
      </c>
      <c r="K879" s="7">
        <v>7.67</v>
      </c>
    </row>
    <row r="880" spans="1:11" s="4" customFormat="1" ht="10.199999999999999" x14ac:dyDescent="0.2">
      <c r="A880" s="6" t="str">
        <f>"0013390030"</f>
        <v>0013390030</v>
      </c>
      <c r="B880" s="6" t="str">
        <f>"395840"</f>
        <v>395840</v>
      </c>
      <c r="C880" s="6" t="s">
        <v>520</v>
      </c>
      <c r="D880" s="6" t="s">
        <v>230</v>
      </c>
      <c r="E880" s="6" t="s">
        <v>314</v>
      </c>
      <c r="F880" s="6">
        <v>30</v>
      </c>
      <c r="G880" s="6" t="s">
        <v>517</v>
      </c>
      <c r="H880" s="6" t="s">
        <v>518</v>
      </c>
      <c r="I880" s="6" t="s">
        <v>65</v>
      </c>
      <c r="J880" s="6" t="s">
        <v>20</v>
      </c>
      <c r="K880" s="7">
        <v>7.67</v>
      </c>
    </row>
    <row r="881" spans="1:11" s="4" customFormat="1" ht="10.199999999999999" x14ac:dyDescent="0.2">
      <c r="A881" s="6" t="str">
        <f>"0013390030"</f>
        <v>0013390030</v>
      </c>
      <c r="B881" s="6" t="str">
        <f>"421006"</f>
        <v>421006</v>
      </c>
      <c r="C881" s="6" t="s">
        <v>521</v>
      </c>
      <c r="D881" s="6" t="s">
        <v>230</v>
      </c>
      <c r="E881" s="6" t="s">
        <v>314</v>
      </c>
      <c r="F881" s="6">
        <v>30</v>
      </c>
      <c r="G881" s="6" t="s">
        <v>517</v>
      </c>
      <c r="H881" s="6" t="s">
        <v>518</v>
      </c>
      <c r="I881" s="6" t="s">
        <v>28</v>
      </c>
      <c r="J881" s="6" t="s">
        <v>20</v>
      </c>
      <c r="K881" s="7">
        <v>7.67</v>
      </c>
    </row>
    <row r="882" spans="1:11" s="4" customFormat="1" ht="10.199999999999999" x14ac:dyDescent="0.2">
      <c r="A882" s="6" t="str">
        <f>"0013390030"</f>
        <v>0013390030</v>
      </c>
      <c r="B882" s="6" t="str">
        <f>"591781"</f>
        <v>591781</v>
      </c>
      <c r="C882" s="6" t="s">
        <v>522</v>
      </c>
      <c r="D882" s="6" t="s">
        <v>230</v>
      </c>
      <c r="E882" s="6" t="s">
        <v>314</v>
      </c>
      <c r="F882" s="6">
        <v>30</v>
      </c>
      <c r="G882" s="6" t="s">
        <v>517</v>
      </c>
      <c r="H882" s="6" t="s">
        <v>518</v>
      </c>
      <c r="I882" s="6" t="s">
        <v>375</v>
      </c>
      <c r="J882" s="6" t="s">
        <v>20</v>
      </c>
      <c r="K882" s="7">
        <v>7.67</v>
      </c>
    </row>
    <row r="883" spans="1:11" s="4" customFormat="1" ht="10.199999999999999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7"/>
    </row>
    <row r="884" spans="1:11" s="4" customFormat="1" ht="10.199999999999999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7"/>
    </row>
    <row r="885" spans="1:11" s="4" customFormat="1" ht="10.199999999999999" x14ac:dyDescent="0.2">
      <c r="A885" s="6" t="str">
        <f>"0013390100"</f>
        <v>0013390100</v>
      </c>
      <c r="B885" s="6" t="str">
        <f>"390971"</f>
        <v>390971</v>
      </c>
      <c r="C885" s="6" t="s">
        <v>516</v>
      </c>
      <c r="D885" s="6" t="s">
        <v>230</v>
      </c>
      <c r="E885" s="6" t="s">
        <v>314</v>
      </c>
      <c r="F885" s="6">
        <v>100</v>
      </c>
      <c r="G885" s="6" t="s">
        <v>517</v>
      </c>
      <c r="H885" s="6" t="s">
        <v>518</v>
      </c>
      <c r="I885" s="6" t="s">
        <v>375</v>
      </c>
      <c r="J885" s="6" t="s">
        <v>17</v>
      </c>
      <c r="K885" s="7">
        <v>39.85</v>
      </c>
    </row>
    <row r="886" spans="1:11" s="4" customFormat="1" ht="10.199999999999999" x14ac:dyDescent="0.2">
      <c r="A886" s="6" t="str">
        <f>"0013390100"</f>
        <v>0013390100</v>
      </c>
      <c r="B886" s="6" t="str">
        <f>"141441"</f>
        <v>141441</v>
      </c>
      <c r="C886" s="6" t="s">
        <v>521</v>
      </c>
      <c r="D886" s="6" t="s">
        <v>230</v>
      </c>
      <c r="E886" s="6" t="s">
        <v>314</v>
      </c>
      <c r="F886" s="6">
        <v>100</v>
      </c>
      <c r="G886" s="6" t="s">
        <v>517</v>
      </c>
      <c r="H886" s="6" t="s">
        <v>518</v>
      </c>
      <c r="I886" s="6" t="s">
        <v>28</v>
      </c>
      <c r="J886" s="6" t="s">
        <v>20</v>
      </c>
      <c r="K886" s="7">
        <v>23.91</v>
      </c>
    </row>
    <row r="887" spans="1:11" s="4" customFormat="1" ht="10.199999999999999" x14ac:dyDescent="0.2">
      <c r="A887" s="6" t="str">
        <f>"0013390100"</f>
        <v>0013390100</v>
      </c>
      <c r="B887" s="6" t="str">
        <f>"426274"</f>
        <v>426274</v>
      </c>
      <c r="C887" s="6" t="s">
        <v>522</v>
      </c>
      <c r="D887" s="6" t="s">
        <v>230</v>
      </c>
      <c r="E887" s="6" t="s">
        <v>314</v>
      </c>
      <c r="F887" s="6">
        <v>100</v>
      </c>
      <c r="G887" s="6" t="s">
        <v>517</v>
      </c>
      <c r="H887" s="6" t="s">
        <v>518</v>
      </c>
      <c r="I887" s="6" t="s">
        <v>375</v>
      </c>
      <c r="J887" s="6" t="s">
        <v>20</v>
      </c>
      <c r="K887" s="7">
        <v>23.91</v>
      </c>
    </row>
    <row r="888" spans="1:11" s="4" customFormat="1" ht="10.199999999999999" x14ac:dyDescent="0.2">
      <c r="A888" s="6" t="str">
        <f>"0013390100"</f>
        <v>0013390100</v>
      </c>
      <c r="B888" s="6" t="str">
        <f>"427644"</f>
        <v>427644</v>
      </c>
      <c r="C888" s="6" t="s">
        <v>520</v>
      </c>
      <c r="D888" s="6" t="s">
        <v>230</v>
      </c>
      <c r="E888" s="6" t="s">
        <v>314</v>
      </c>
      <c r="F888" s="6">
        <v>100</v>
      </c>
      <c r="G888" s="6" t="s">
        <v>517</v>
      </c>
      <c r="H888" s="6" t="s">
        <v>518</v>
      </c>
      <c r="I888" s="6" t="s">
        <v>65</v>
      </c>
      <c r="J888" s="6" t="s">
        <v>20</v>
      </c>
      <c r="K888" s="7">
        <v>23.91</v>
      </c>
    </row>
    <row r="889" spans="1:11" s="4" customFormat="1" ht="10.199999999999999" x14ac:dyDescent="0.2">
      <c r="A889" s="6" t="str">
        <f>"0013390100"</f>
        <v>0013390100</v>
      </c>
      <c r="B889" s="6" t="str">
        <f>"501380"</f>
        <v>501380</v>
      </c>
      <c r="C889" s="6" t="s">
        <v>519</v>
      </c>
      <c r="D889" s="6" t="s">
        <v>230</v>
      </c>
      <c r="E889" s="6" t="s">
        <v>314</v>
      </c>
      <c r="F889" s="6">
        <v>100</v>
      </c>
      <c r="G889" s="6" t="s">
        <v>517</v>
      </c>
      <c r="H889" s="6" t="s">
        <v>518</v>
      </c>
      <c r="I889" s="6" t="s">
        <v>37</v>
      </c>
      <c r="J889" s="6" t="s">
        <v>20</v>
      </c>
      <c r="K889" s="7">
        <v>23.91</v>
      </c>
    </row>
    <row r="890" spans="1:11" s="4" customFormat="1" ht="10.199999999999999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7"/>
    </row>
    <row r="891" spans="1:11" s="4" customFormat="1" ht="10.199999999999999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7"/>
    </row>
    <row r="892" spans="1:11" s="4" customFormat="1" ht="10.199999999999999" x14ac:dyDescent="0.2">
      <c r="A892" s="6" t="str">
        <f>"0013400010"</f>
        <v>0013400010</v>
      </c>
      <c r="B892" s="6" t="str">
        <f>"001194"</f>
        <v>001194</v>
      </c>
      <c r="C892" s="6" t="s">
        <v>516</v>
      </c>
      <c r="D892" s="6" t="s">
        <v>166</v>
      </c>
      <c r="E892" s="6" t="s">
        <v>314</v>
      </c>
      <c r="F892" s="6">
        <v>10</v>
      </c>
      <c r="G892" s="6" t="s">
        <v>517</v>
      </c>
      <c r="H892" s="6" t="s">
        <v>518</v>
      </c>
      <c r="I892" s="6" t="s">
        <v>375</v>
      </c>
      <c r="J892" s="6" t="s">
        <v>17</v>
      </c>
      <c r="K892" s="7">
        <v>7.75</v>
      </c>
    </row>
    <row r="893" spans="1:11" s="4" customFormat="1" ht="10.199999999999999" x14ac:dyDescent="0.2">
      <c r="A893" s="6" t="str">
        <f>"0013400010"</f>
        <v>0013400010</v>
      </c>
      <c r="B893" s="6" t="str">
        <f>"128816"</f>
        <v>128816</v>
      </c>
      <c r="C893" s="6" t="s">
        <v>519</v>
      </c>
      <c r="D893" s="6" t="s">
        <v>166</v>
      </c>
      <c r="E893" s="6" t="s">
        <v>314</v>
      </c>
      <c r="F893" s="6">
        <v>10</v>
      </c>
      <c r="G893" s="6" t="s">
        <v>517</v>
      </c>
      <c r="H893" s="6" t="s">
        <v>518</v>
      </c>
      <c r="I893" s="6" t="s">
        <v>37</v>
      </c>
      <c r="J893" s="6" t="s">
        <v>20</v>
      </c>
      <c r="K893" s="7">
        <v>4.6500000000000004</v>
      </c>
    </row>
    <row r="894" spans="1:11" s="4" customFormat="1" ht="10.199999999999999" x14ac:dyDescent="0.2">
      <c r="A894" s="6" t="str">
        <f>"0013400010"</f>
        <v>0013400010</v>
      </c>
      <c r="B894" s="6" t="str">
        <f>"150705"</f>
        <v>150705</v>
      </c>
      <c r="C894" s="6" t="s">
        <v>520</v>
      </c>
      <c r="D894" s="6" t="s">
        <v>166</v>
      </c>
      <c r="E894" s="6" t="s">
        <v>314</v>
      </c>
      <c r="F894" s="6">
        <v>10</v>
      </c>
      <c r="G894" s="6" t="s">
        <v>517</v>
      </c>
      <c r="H894" s="6" t="s">
        <v>518</v>
      </c>
      <c r="I894" s="6" t="s">
        <v>65</v>
      </c>
      <c r="J894" s="6" t="s">
        <v>20</v>
      </c>
      <c r="K894" s="7">
        <v>4.6500000000000004</v>
      </c>
    </row>
    <row r="895" spans="1:11" s="4" customFormat="1" ht="10.199999999999999" x14ac:dyDescent="0.2">
      <c r="A895" s="6" t="str">
        <f>"0013400010"</f>
        <v>0013400010</v>
      </c>
      <c r="B895" s="6" t="str">
        <f>"576766"</f>
        <v>576766</v>
      </c>
      <c r="C895" s="6" t="s">
        <v>521</v>
      </c>
      <c r="D895" s="6" t="s">
        <v>166</v>
      </c>
      <c r="E895" s="6" t="s">
        <v>314</v>
      </c>
      <c r="F895" s="6">
        <v>10</v>
      </c>
      <c r="G895" s="6" t="s">
        <v>517</v>
      </c>
      <c r="H895" s="6" t="s">
        <v>518</v>
      </c>
      <c r="I895" s="6" t="s">
        <v>28</v>
      </c>
      <c r="J895" s="6" t="s">
        <v>20</v>
      </c>
      <c r="K895" s="7">
        <v>4.6500000000000004</v>
      </c>
    </row>
    <row r="896" spans="1:11" s="4" customFormat="1" ht="10.199999999999999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7"/>
    </row>
    <row r="897" spans="1:11" s="4" customFormat="1" ht="10.199999999999999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7"/>
    </row>
    <row r="898" spans="1:11" s="4" customFormat="1" ht="10.199999999999999" x14ac:dyDescent="0.2">
      <c r="A898" s="6" t="str">
        <f>"0013400030"</f>
        <v>0013400030</v>
      </c>
      <c r="B898" s="6" t="str">
        <f>"001205"</f>
        <v>001205</v>
      </c>
      <c r="C898" s="6" t="s">
        <v>516</v>
      </c>
      <c r="D898" s="6" t="s">
        <v>166</v>
      </c>
      <c r="E898" s="6" t="s">
        <v>314</v>
      </c>
      <c r="F898" s="6">
        <v>30</v>
      </c>
      <c r="G898" s="6" t="s">
        <v>517</v>
      </c>
      <c r="H898" s="6" t="s">
        <v>518</v>
      </c>
      <c r="I898" s="6" t="s">
        <v>375</v>
      </c>
      <c r="J898" s="6" t="s">
        <v>17</v>
      </c>
      <c r="K898" s="7">
        <v>23.27</v>
      </c>
    </row>
    <row r="899" spans="1:11" s="4" customFormat="1" ht="10.199999999999999" x14ac:dyDescent="0.2">
      <c r="A899" s="6" t="str">
        <f>"0013400030"</f>
        <v>0013400030</v>
      </c>
      <c r="B899" s="6" t="str">
        <f>"067046"</f>
        <v>067046</v>
      </c>
      <c r="C899" s="6" t="s">
        <v>521</v>
      </c>
      <c r="D899" s="6" t="s">
        <v>166</v>
      </c>
      <c r="E899" s="6" t="s">
        <v>314</v>
      </c>
      <c r="F899" s="6">
        <v>30</v>
      </c>
      <c r="G899" s="6" t="s">
        <v>517</v>
      </c>
      <c r="H899" s="6" t="s">
        <v>518</v>
      </c>
      <c r="I899" s="6" t="s">
        <v>28</v>
      </c>
      <c r="J899" s="6" t="s">
        <v>20</v>
      </c>
      <c r="K899" s="7">
        <v>13.96</v>
      </c>
    </row>
    <row r="900" spans="1:11" s="4" customFormat="1" ht="10.199999999999999" x14ac:dyDescent="0.2">
      <c r="A900" s="6" t="str">
        <f>"0013400030"</f>
        <v>0013400030</v>
      </c>
      <c r="B900" s="6" t="str">
        <f>"137416"</f>
        <v>137416</v>
      </c>
      <c r="C900" s="6" t="s">
        <v>522</v>
      </c>
      <c r="D900" s="6" t="s">
        <v>166</v>
      </c>
      <c r="E900" s="6" t="s">
        <v>314</v>
      </c>
      <c r="F900" s="6">
        <v>30</v>
      </c>
      <c r="G900" s="6" t="s">
        <v>517</v>
      </c>
      <c r="H900" s="6" t="s">
        <v>518</v>
      </c>
      <c r="I900" s="6" t="s">
        <v>375</v>
      </c>
      <c r="J900" s="6" t="s">
        <v>20</v>
      </c>
      <c r="K900" s="7">
        <v>13.96</v>
      </c>
    </row>
    <row r="901" spans="1:11" s="4" customFormat="1" ht="10.199999999999999" x14ac:dyDescent="0.2">
      <c r="A901" s="6" t="str">
        <f>"0013400030"</f>
        <v>0013400030</v>
      </c>
      <c r="B901" s="6" t="str">
        <f>"375830"</f>
        <v>375830</v>
      </c>
      <c r="C901" s="6" t="s">
        <v>520</v>
      </c>
      <c r="D901" s="6" t="s">
        <v>166</v>
      </c>
      <c r="E901" s="6" t="s">
        <v>314</v>
      </c>
      <c r="F901" s="6">
        <v>30</v>
      </c>
      <c r="G901" s="6" t="s">
        <v>517</v>
      </c>
      <c r="H901" s="6" t="s">
        <v>518</v>
      </c>
      <c r="I901" s="6" t="s">
        <v>65</v>
      </c>
      <c r="J901" s="6" t="s">
        <v>20</v>
      </c>
      <c r="K901" s="7">
        <v>13.96</v>
      </c>
    </row>
    <row r="902" spans="1:11" s="4" customFormat="1" ht="10.199999999999999" x14ac:dyDescent="0.2">
      <c r="A902" s="6" t="str">
        <f>"0013400030"</f>
        <v>0013400030</v>
      </c>
      <c r="B902" s="6" t="str">
        <f>"531958"</f>
        <v>531958</v>
      </c>
      <c r="C902" s="6" t="s">
        <v>519</v>
      </c>
      <c r="D902" s="6" t="s">
        <v>166</v>
      </c>
      <c r="E902" s="6" t="s">
        <v>314</v>
      </c>
      <c r="F902" s="6">
        <v>30</v>
      </c>
      <c r="G902" s="6" t="s">
        <v>517</v>
      </c>
      <c r="H902" s="6" t="s">
        <v>518</v>
      </c>
      <c r="I902" s="6" t="s">
        <v>37</v>
      </c>
      <c r="J902" s="6" t="s">
        <v>20</v>
      </c>
      <c r="K902" s="7">
        <v>13.96</v>
      </c>
    </row>
    <row r="903" spans="1:11" s="4" customFormat="1" ht="10.199999999999999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7"/>
    </row>
    <row r="904" spans="1:11" s="4" customFormat="1" ht="10.199999999999999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7"/>
    </row>
    <row r="905" spans="1:11" s="4" customFormat="1" ht="10.199999999999999" x14ac:dyDescent="0.2">
      <c r="A905" s="6" t="str">
        <f>"0013400100"</f>
        <v>0013400100</v>
      </c>
      <c r="B905" s="6" t="str">
        <f>"391268"</f>
        <v>391268</v>
      </c>
      <c r="C905" s="6" t="s">
        <v>516</v>
      </c>
      <c r="D905" s="6" t="s">
        <v>166</v>
      </c>
      <c r="E905" s="6" t="s">
        <v>314</v>
      </c>
      <c r="F905" s="6">
        <v>100</v>
      </c>
      <c r="G905" s="6" t="s">
        <v>517</v>
      </c>
      <c r="H905" s="6" t="s">
        <v>518</v>
      </c>
      <c r="I905" s="6" t="s">
        <v>375</v>
      </c>
      <c r="J905" s="6" t="s">
        <v>17</v>
      </c>
      <c r="K905" s="7">
        <v>73.150000000000006</v>
      </c>
    </row>
    <row r="906" spans="1:11" s="4" customFormat="1" ht="10.199999999999999" x14ac:dyDescent="0.2">
      <c r="A906" s="6" t="str">
        <f>"0013400100"</f>
        <v>0013400100</v>
      </c>
      <c r="B906" s="6" t="str">
        <f>"163764"</f>
        <v>163764</v>
      </c>
      <c r="C906" s="6" t="s">
        <v>522</v>
      </c>
      <c r="D906" s="6" t="s">
        <v>166</v>
      </c>
      <c r="E906" s="6" t="s">
        <v>314</v>
      </c>
      <c r="F906" s="6">
        <v>100</v>
      </c>
      <c r="G906" s="6" t="s">
        <v>517</v>
      </c>
      <c r="H906" s="6" t="s">
        <v>518</v>
      </c>
      <c r="I906" s="6" t="s">
        <v>375</v>
      </c>
      <c r="J906" s="6" t="s">
        <v>20</v>
      </c>
      <c r="K906" s="7">
        <v>43.89</v>
      </c>
    </row>
    <row r="907" spans="1:11" s="4" customFormat="1" ht="10.199999999999999" x14ac:dyDescent="0.2">
      <c r="A907" s="6" t="str">
        <f>"0013400100"</f>
        <v>0013400100</v>
      </c>
      <c r="B907" s="6" t="str">
        <f>"189454"</f>
        <v>189454</v>
      </c>
      <c r="C907" s="6" t="s">
        <v>520</v>
      </c>
      <c r="D907" s="6" t="s">
        <v>166</v>
      </c>
      <c r="E907" s="6" t="s">
        <v>314</v>
      </c>
      <c r="F907" s="6">
        <v>100</v>
      </c>
      <c r="G907" s="6" t="s">
        <v>517</v>
      </c>
      <c r="H907" s="6" t="s">
        <v>518</v>
      </c>
      <c r="I907" s="6" t="s">
        <v>65</v>
      </c>
      <c r="J907" s="6" t="s">
        <v>20</v>
      </c>
      <c r="K907" s="7">
        <v>43.89</v>
      </c>
    </row>
    <row r="908" spans="1:11" s="4" customFormat="1" ht="10.199999999999999" x14ac:dyDescent="0.2">
      <c r="A908" s="6" t="str">
        <f>"0013400100"</f>
        <v>0013400100</v>
      </c>
      <c r="B908" s="6" t="str">
        <f>"428618"</f>
        <v>428618</v>
      </c>
      <c r="C908" s="6" t="s">
        <v>519</v>
      </c>
      <c r="D908" s="6" t="s">
        <v>166</v>
      </c>
      <c r="E908" s="6" t="s">
        <v>314</v>
      </c>
      <c r="F908" s="6">
        <v>100</v>
      </c>
      <c r="G908" s="6" t="s">
        <v>517</v>
      </c>
      <c r="H908" s="6" t="s">
        <v>518</v>
      </c>
      <c r="I908" s="6" t="s">
        <v>37</v>
      </c>
      <c r="J908" s="6" t="s">
        <v>20</v>
      </c>
      <c r="K908" s="7">
        <v>43.89</v>
      </c>
    </row>
    <row r="909" spans="1:11" s="4" customFormat="1" ht="10.199999999999999" x14ac:dyDescent="0.2">
      <c r="A909" s="6" t="str">
        <f>"0013400100"</f>
        <v>0013400100</v>
      </c>
      <c r="B909" s="6" t="str">
        <f>"431022"</f>
        <v>431022</v>
      </c>
      <c r="C909" s="6" t="s">
        <v>521</v>
      </c>
      <c r="D909" s="6" t="s">
        <v>166</v>
      </c>
      <c r="E909" s="6" t="s">
        <v>314</v>
      </c>
      <c r="F909" s="6">
        <v>100</v>
      </c>
      <c r="G909" s="6" t="s">
        <v>517</v>
      </c>
      <c r="H909" s="6" t="s">
        <v>518</v>
      </c>
      <c r="I909" s="6" t="s">
        <v>28</v>
      </c>
      <c r="J909" s="6" t="s">
        <v>20</v>
      </c>
      <c r="K909" s="7">
        <v>43.89</v>
      </c>
    </row>
    <row r="910" spans="1:11" s="4" customFormat="1" ht="10.199999999999999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7"/>
    </row>
    <row r="911" spans="1:11" s="4" customFormat="1" ht="10.199999999999999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7"/>
    </row>
    <row r="912" spans="1:11" s="4" customFormat="1" ht="10.199999999999999" x14ac:dyDescent="0.2">
      <c r="A912" s="6" t="str">
        <f>"0003170030"</f>
        <v>0003170030</v>
      </c>
      <c r="B912" s="6" t="str">
        <f>"001024"</f>
        <v>001024</v>
      </c>
      <c r="C912" s="6" t="s">
        <v>523</v>
      </c>
      <c r="D912" s="6" t="s">
        <v>59</v>
      </c>
      <c r="E912" s="6" t="s">
        <v>82</v>
      </c>
      <c r="F912" s="6">
        <v>30</v>
      </c>
      <c r="G912" s="6" t="s">
        <v>524</v>
      </c>
      <c r="H912" s="6" t="s">
        <v>525</v>
      </c>
      <c r="I912" s="6" t="s">
        <v>63</v>
      </c>
      <c r="J912" s="6" t="s">
        <v>17</v>
      </c>
      <c r="K912" s="7">
        <v>8.27</v>
      </c>
    </row>
    <row r="913" spans="1:11" s="4" customFormat="1" ht="10.199999999999999" x14ac:dyDescent="0.2">
      <c r="A913" s="6" t="str">
        <f>"0003170030"</f>
        <v>0003170030</v>
      </c>
      <c r="B913" s="6" t="str">
        <f>"041237"</f>
        <v>041237</v>
      </c>
      <c r="C913" s="6" t="s">
        <v>526</v>
      </c>
      <c r="D913" s="6" t="s">
        <v>59</v>
      </c>
      <c r="E913" s="6" t="s">
        <v>82</v>
      </c>
      <c r="F913" s="6">
        <v>30</v>
      </c>
      <c r="G913" s="6" t="s">
        <v>524</v>
      </c>
      <c r="H913" s="6" t="s">
        <v>525</v>
      </c>
      <c r="I913" s="6" t="s">
        <v>35</v>
      </c>
      <c r="J913" s="6" t="s">
        <v>20</v>
      </c>
      <c r="K913" s="7">
        <v>4.96</v>
      </c>
    </row>
    <row r="914" spans="1:11" s="4" customFormat="1" ht="20.399999999999999" x14ac:dyDescent="0.2">
      <c r="A914" s="6" t="str">
        <f>"0003170030"</f>
        <v>0003170030</v>
      </c>
      <c r="B914" s="6" t="str">
        <f>"062159"</f>
        <v>062159</v>
      </c>
      <c r="C914" s="6" t="s">
        <v>527</v>
      </c>
      <c r="D914" s="6" t="s">
        <v>59</v>
      </c>
      <c r="E914" s="6" t="s">
        <v>82</v>
      </c>
      <c r="F914" s="6">
        <v>30</v>
      </c>
      <c r="G914" s="6" t="s">
        <v>524</v>
      </c>
      <c r="H914" s="6" t="s">
        <v>525</v>
      </c>
      <c r="I914" s="6" t="s">
        <v>124</v>
      </c>
      <c r="J914" s="6" t="s">
        <v>20</v>
      </c>
      <c r="K914" s="7">
        <v>4.96</v>
      </c>
    </row>
    <row r="915" spans="1:11" s="4" customFormat="1" ht="10.199999999999999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7"/>
    </row>
    <row r="916" spans="1:11" s="4" customFormat="1" ht="10.199999999999999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7"/>
    </row>
    <row r="917" spans="1:11" s="4" customFormat="1" ht="10.199999999999999" x14ac:dyDescent="0.2">
      <c r="A917" s="6" t="str">
        <f>"0003170100"</f>
        <v>0003170100</v>
      </c>
      <c r="B917" s="6" t="str">
        <f>"001115"</f>
        <v>001115</v>
      </c>
      <c r="C917" s="6" t="s">
        <v>523</v>
      </c>
      <c r="D917" s="6" t="s">
        <v>59</v>
      </c>
      <c r="E917" s="6" t="s">
        <v>82</v>
      </c>
      <c r="F917" s="6">
        <v>100</v>
      </c>
      <c r="G917" s="6" t="s">
        <v>524</v>
      </c>
      <c r="H917" s="6" t="s">
        <v>525</v>
      </c>
      <c r="I917" s="6" t="s">
        <v>63</v>
      </c>
      <c r="J917" s="6" t="s">
        <v>17</v>
      </c>
      <c r="K917" s="7">
        <v>25.07</v>
      </c>
    </row>
    <row r="918" spans="1:11" s="4" customFormat="1" ht="20.399999999999999" x14ac:dyDescent="0.2">
      <c r="A918" s="6" t="str">
        <f>"0003170100"</f>
        <v>0003170100</v>
      </c>
      <c r="B918" s="6" t="str">
        <f>"062171"</f>
        <v>062171</v>
      </c>
      <c r="C918" s="6" t="s">
        <v>527</v>
      </c>
      <c r="D918" s="6" t="s">
        <v>59</v>
      </c>
      <c r="E918" s="6" t="s">
        <v>82</v>
      </c>
      <c r="F918" s="6">
        <v>100</v>
      </c>
      <c r="G918" s="6" t="s">
        <v>524</v>
      </c>
      <c r="H918" s="6" t="s">
        <v>525</v>
      </c>
      <c r="I918" s="6" t="s">
        <v>124</v>
      </c>
      <c r="J918" s="6" t="s">
        <v>20</v>
      </c>
      <c r="K918" s="7">
        <v>15.04</v>
      </c>
    </row>
    <row r="919" spans="1:11" s="4" customFormat="1" ht="10.199999999999999" x14ac:dyDescent="0.2">
      <c r="A919" s="6" t="str">
        <f>"0003170100"</f>
        <v>0003170100</v>
      </c>
      <c r="B919" s="6" t="str">
        <f>"134785"</f>
        <v>134785</v>
      </c>
      <c r="C919" s="6" t="s">
        <v>528</v>
      </c>
      <c r="D919" s="6" t="s">
        <v>59</v>
      </c>
      <c r="E919" s="6" t="s">
        <v>82</v>
      </c>
      <c r="F919" s="6">
        <v>100</v>
      </c>
      <c r="G919" s="6" t="s">
        <v>524</v>
      </c>
      <c r="H919" s="6" t="s">
        <v>525</v>
      </c>
      <c r="I919" s="6" t="s">
        <v>274</v>
      </c>
      <c r="J919" s="6" t="s">
        <v>20</v>
      </c>
      <c r="K919" s="7">
        <v>15.04</v>
      </c>
    </row>
    <row r="920" spans="1:11" s="4" customFormat="1" ht="10.199999999999999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7"/>
    </row>
    <row r="921" spans="1:11" s="4" customFormat="1" ht="10.199999999999999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7"/>
    </row>
    <row r="922" spans="1:11" s="4" customFormat="1" ht="10.199999999999999" x14ac:dyDescent="0.2">
      <c r="A922" s="6" t="str">
        <f>"0005170030"</f>
        <v>0005170030</v>
      </c>
      <c r="B922" s="6" t="str">
        <f>"000976"</f>
        <v>000976</v>
      </c>
      <c r="C922" s="6" t="s">
        <v>523</v>
      </c>
      <c r="D922" s="6" t="s">
        <v>106</v>
      </c>
      <c r="E922" s="6" t="s">
        <v>82</v>
      </c>
      <c r="F922" s="6">
        <v>30</v>
      </c>
      <c r="G922" s="6" t="s">
        <v>524</v>
      </c>
      <c r="H922" s="6" t="s">
        <v>525</v>
      </c>
      <c r="I922" s="6" t="s">
        <v>63</v>
      </c>
      <c r="J922" s="6" t="s">
        <v>17</v>
      </c>
      <c r="K922" s="7">
        <v>4.53</v>
      </c>
    </row>
    <row r="923" spans="1:11" s="4" customFormat="1" ht="10.199999999999999" x14ac:dyDescent="0.2">
      <c r="A923" s="6" t="str">
        <f>"0005170030"</f>
        <v>0005170030</v>
      </c>
      <c r="B923" s="6" t="str">
        <f>"041215"</f>
        <v>041215</v>
      </c>
      <c r="C923" s="6" t="s">
        <v>526</v>
      </c>
      <c r="D923" s="6" t="s">
        <v>106</v>
      </c>
      <c r="E923" s="6" t="s">
        <v>82</v>
      </c>
      <c r="F923" s="6">
        <v>30</v>
      </c>
      <c r="G923" s="6" t="s">
        <v>524</v>
      </c>
      <c r="H923" s="6" t="s">
        <v>525</v>
      </c>
      <c r="I923" s="6" t="s">
        <v>35</v>
      </c>
      <c r="J923" s="6" t="s">
        <v>20</v>
      </c>
      <c r="K923" s="7">
        <v>2.71</v>
      </c>
    </row>
    <row r="924" spans="1:11" s="4" customFormat="1" ht="20.399999999999999" x14ac:dyDescent="0.2">
      <c r="A924" s="6" t="str">
        <f>"0005170030"</f>
        <v>0005170030</v>
      </c>
      <c r="B924" s="6" t="str">
        <f>"062137"</f>
        <v>062137</v>
      </c>
      <c r="C924" s="6" t="s">
        <v>527</v>
      </c>
      <c r="D924" s="6" t="s">
        <v>106</v>
      </c>
      <c r="E924" s="6" t="s">
        <v>82</v>
      </c>
      <c r="F924" s="6">
        <v>30</v>
      </c>
      <c r="G924" s="6" t="s">
        <v>524</v>
      </c>
      <c r="H924" s="6" t="s">
        <v>525</v>
      </c>
      <c r="I924" s="6" t="s">
        <v>124</v>
      </c>
      <c r="J924" s="6" t="s">
        <v>20</v>
      </c>
      <c r="K924" s="7">
        <v>2.71</v>
      </c>
    </row>
    <row r="925" spans="1:11" s="4" customFormat="1" ht="10.199999999999999" x14ac:dyDescent="0.2">
      <c r="A925" s="6" t="str">
        <f>"0005170030"</f>
        <v>0005170030</v>
      </c>
      <c r="B925" s="6" t="str">
        <f>"134752"</f>
        <v>134752</v>
      </c>
      <c r="C925" s="6" t="s">
        <v>528</v>
      </c>
      <c r="D925" s="6" t="s">
        <v>106</v>
      </c>
      <c r="E925" s="6" t="s">
        <v>82</v>
      </c>
      <c r="F925" s="6">
        <v>30</v>
      </c>
      <c r="G925" s="6" t="s">
        <v>524</v>
      </c>
      <c r="H925" s="6" t="s">
        <v>525</v>
      </c>
      <c r="I925" s="6" t="s">
        <v>274</v>
      </c>
      <c r="J925" s="6" t="s">
        <v>20</v>
      </c>
      <c r="K925" s="7">
        <v>2.71</v>
      </c>
    </row>
    <row r="926" spans="1:11" s="4" customFormat="1" ht="10.199999999999999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7"/>
    </row>
    <row r="927" spans="1:11" s="4" customFormat="1" ht="10.199999999999999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7"/>
    </row>
    <row r="928" spans="1:11" s="4" customFormat="1" ht="10.199999999999999" x14ac:dyDescent="0.2">
      <c r="A928" s="6" t="str">
        <f>"0005170100"</f>
        <v>0005170100</v>
      </c>
      <c r="B928" s="6" t="str">
        <f>"001008"</f>
        <v>001008</v>
      </c>
      <c r="C928" s="6" t="s">
        <v>523</v>
      </c>
      <c r="D928" s="6" t="s">
        <v>106</v>
      </c>
      <c r="E928" s="6" t="s">
        <v>82</v>
      </c>
      <c r="F928" s="6">
        <v>100</v>
      </c>
      <c r="G928" s="6" t="s">
        <v>524</v>
      </c>
      <c r="H928" s="6" t="s">
        <v>525</v>
      </c>
      <c r="I928" s="6" t="s">
        <v>63</v>
      </c>
      <c r="J928" s="6" t="s">
        <v>17</v>
      </c>
      <c r="K928" s="7">
        <v>13.93</v>
      </c>
    </row>
    <row r="929" spans="1:11" s="4" customFormat="1" ht="20.399999999999999" x14ac:dyDescent="0.2">
      <c r="A929" s="6" t="str">
        <f>"0005170100"</f>
        <v>0005170100</v>
      </c>
      <c r="B929" s="6" t="str">
        <f>"062148"</f>
        <v>062148</v>
      </c>
      <c r="C929" s="6" t="s">
        <v>527</v>
      </c>
      <c r="D929" s="6" t="s">
        <v>106</v>
      </c>
      <c r="E929" s="6" t="s">
        <v>82</v>
      </c>
      <c r="F929" s="6">
        <v>100</v>
      </c>
      <c r="G929" s="6" t="s">
        <v>524</v>
      </c>
      <c r="H929" s="6" t="s">
        <v>525</v>
      </c>
      <c r="I929" s="6" t="s">
        <v>124</v>
      </c>
      <c r="J929" s="6" t="s">
        <v>20</v>
      </c>
      <c r="K929" s="7">
        <v>8.35</v>
      </c>
    </row>
    <row r="930" spans="1:11" s="4" customFormat="1" ht="10.199999999999999" x14ac:dyDescent="0.2">
      <c r="A930" s="6" t="str">
        <f>"0005170100"</f>
        <v>0005170100</v>
      </c>
      <c r="B930" s="6" t="str">
        <f>"134763"</f>
        <v>134763</v>
      </c>
      <c r="C930" s="6" t="s">
        <v>528</v>
      </c>
      <c r="D930" s="6" t="s">
        <v>106</v>
      </c>
      <c r="E930" s="6" t="s">
        <v>82</v>
      </c>
      <c r="F930" s="6">
        <v>100</v>
      </c>
      <c r="G930" s="6" t="s">
        <v>524</v>
      </c>
      <c r="H930" s="6" t="s">
        <v>525</v>
      </c>
      <c r="I930" s="6" t="s">
        <v>274</v>
      </c>
      <c r="J930" s="6" t="s">
        <v>20</v>
      </c>
      <c r="K930" s="7">
        <v>8.35</v>
      </c>
    </row>
    <row r="931" spans="1:11" s="4" customFormat="1" ht="10.199999999999999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7"/>
    </row>
    <row r="932" spans="1:11" s="4" customFormat="1" ht="10.199999999999999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7"/>
    </row>
    <row r="933" spans="1:11" s="4" customFormat="1" ht="10.199999999999999" x14ac:dyDescent="0.2">
      <c r="A933" s="6" t="str">
        <f>"0010690001"</f>
        <v>0010690001</v>
      </c>
      <c r="B933" s="6" t="str">
        <f>"025588"</f>
        <v>025588</v>
      </c>
      <c r="C933" s="6" t="s">
        <v>529</v>
      </c>
      <c r="D933" s="6" t="s">
        <v>438</v>
      </c>
      <c r="E933" s="6" t="s">
        <v>13</v>
      </c>
      <c r="F933" s="6">
        <v>1</v>
      </c>
      <c r="G933" s="6" t="s">
        <v>530</v>
      </c>
      <c r="H933" s="6" t="s">
        <v>531</v>
      </c>
      <c r="I933" s="6" t="s">
        <v>477</v>
      </c>
      <c r="J933" s="6" t="s">
        <v>17</v>
      </c>
      <c r="K933" s="7">
        <v>25.45</v>
      </c>
    </row>
    <row r="934" spans="1:11" s="4" customFormat="1" ht="10.199999999999999" x14ac:dyDescent="0.2">
      <c r="A934" s="6" t="str">
        <f>"0010690001"</f>
        <v>0010690001</v>
      </c>
      <c r="B934" s="6" t="str">
        <f>"514924"</f>
        <v>514924</v>
      </c>
      <c r="C934" s="6" t="s">
        <v>532</v>
      </c>
      <c r="D934" s="6" t="s">
        <v>438</v>
      </c>
      <c r="E934" s="6" t="s">
        <v>13</v>
      </c>
      <c r="F934" s="6">
        <v>1</v>
      </c>
      <c r="G934" s="6" t="s">
        <v>530</v>
      </c>
      <c r="H934" s="6" t="s">
        <v>531</v>
      </c>
      <c r="I934" s="6" t="s">
        <v>65</v>
      </c>
      <c r="J934" s="6" t="s">
        <v>20</v>
      </c>
      <c r="K934" s="7">
        <v>15.27</v>
      </c>
    </row>
    <row r="935" spans="1:11" s="4" customFormat="1" ht="10.199999999999999" x14ac:dyDescent="0.2">
      <c r="A935" s="6" t="str">
        <f>"0010690001"</f>
        <v>0010690001</v>
      </c>
      <c r="B935" s="6" t="str">
        <f>"525236"</f>
        <v>525236</v>
      </c>
      <c r="C935" s="6" t="s">
        <v>533</v>
      </c>
      <c r="D935" s="6" t="s">
        <v>438</v>
      </c>
      <c r="E935" s="6" t="s">
        <v>13</v>
      </c>
      <c r="F935" s="6">
        <v>1</v>
      </c>
      <c r="G935" s="6" t="s">
        <v>530</v>
      </c>
      <c r="H935" s="6" t="s">
        <v>531</v>
      </c>
      <c r="I935" s="6" t="s">
        <v>30</v>
      </c>
      <c r="J935" s="6" t="s">
        <v>20</v>
      </c>
      <c r="K935" s="7">
        <v>15.27</v>
      </c>
    </row>
    <row r="936" spans="1:11" s="4" customFormat="1" ht="10.199999999999999" x14ac:dyDescent="0.2">
      <c r="A936" s="6" t="str">
        <f>"0010690001"</f>
        <v>0010690001</v>
      </c>
      <c r="B936" s="6" t="str">
        <f>"558709"</f>
        <v>558709</v>
      </c>
      <c r="C936" s="6" t="s">
        <v>534</v>
      </c>
      <c r="D936" s="6" t="s">
        <v>438</v>
      </c>
      <c r="E936" s="6" t="s">
        <v>13</v>
      </c>
      <c r="F936" s="6">
        <v>1</v>
      </c>
      <c r="G936" s="6" t="s">
        <v>530</v>
      </c>
      <c r="H936" s="6" t="s">
        <v>531</v>
      </c>
      <c r="I936" s="6" t="s">
        <v>19</v>
      </c>
      <c r="J936" s="6" t="s">
        <v>20</v>
      </c>
      <c r="K936" s="7">
        <v>15.27</v>
      </c>
    </row>
    <row r="937" spans="1:11" s="4" customFormat="1" ht="10.199999999999999" x14ac:dyDescent="0.2">
      <c r="A937" s="6" t="str">
        <f>"0010690001"</f>
        <v>0010690001</v>
      </c>
      <c r="B937" s="6" t="str">
        <f>"571466"</f>
        <v>571466</v>
      </c>
      <c r="C937" s="6" t="s">
        <v>535</v>
      </c>
      <c r="D937" s="6" t="s">
        <v>438</v>
      </c>
      <c r="E937" s="6" t="s">
        <v>13</v>
      </c>
      <c r="F937" s="6">
        <v>1</v>
      </c>
      <c r="G937" s="6" t="s">
        <v>530</v>
      </c>
      <c r="H937" s="6" t="s">
        <v>531</v>
      </c>
      <c r="I937" s="6" t="s">
        <v>35</v>
      </c>
      <c r="J937" s="6" t="s">
        <v>20</v>
      </c>
      <c r="K937" s="7">
        <v>15.27</v>
      </c>
    </row>
    <row r="938" spans="1:11" s="4" customFormat="1" ht="10.199999999999999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7"/>
    </row>
    <row r="939" spans="1:11" s="4" customFormat="1" ht="10.199999999999999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7"/>
    </row>
    <row r="940" spans="1:11" s="4" customFormat="1" ht="10.199999999999999" x14ac:dyDescent="0.2">
      <c r="A940" s="6" t="str">
        <f t="shared" ref="A940:A947" si="26">"0010690003"</f>
        <v>0010690003</v>
      </c>
      <c r="B940" s="6" t="str">
        <f>"025599"</f>
        <v>025599</v>
      </c>
      <c r="C940" s="6" t="s">
        <v>529</v>
      </c>
      <c r="D940" s="6" t="s">
        <v>438</v>
      </c>
      <c r="E940" s="6" t="s">
        <v>13</v>
      </c>
      <c r="F940" s="6">
        <v>3</v>
      </c>
      <c r="G940" s="6" t="s">
        <v>530</v>
      </c>
      <c r="H940" s="6" t="s">
        <v>531</v>
      </c>
      <c r="I940" s="6" t="s">
        <v>477</v>
      </c>
      <c r="J940" s="6" t="s">
        <v>17</v>
      </c>
      <c r="K940" s="7">
        <v>76.37</v>
      </c>
    </row>
    <row r="941" spans="1:11" s="4" customFormat="1" ht="10.199999999999999" x14ac:dyDescent="0.2">
      <c r="A941" s="6" t="str">
        <f t="shared" si="26"/>
        <v>0010690003</v>
      </c>
      <c r="B941" s="6" t="str">
        <f>"032780"</f>
        <v>032780</v>
      </c>
      <c r="C941" s="6" t="s">
        <v>529</v>
      </c>
      <c r="D941" s="6" t="s">
        <v>438</v>
      </c>
      <c r="E941" s="6" t="s">
        <v>13</v>
      </c>
      <c r="F941" s="6">
        <v>3</v>
      </c>
      <c r="G941" s="6" t="s">
        <v>530</v>
      </c>
      <c r="H941" s="6" t="s">
        <v>531</v>
      </c>
      <c r="I941" s="6" t="s">
        <v>88</v>
      </c>
      <c r="J941" s="6" t="s">
        <v>87</v>
      </c>
      <c r="K941" s="7">
        <v>76.37</v>
      </c>
    </row>
    <row r="942" spans="1:11" s="4" customFormat="1" ht="10.199999999999999" x14ac:dyDescent="0.2">
      <c r="A942" s="6" t="str">
        <f t="shared" si="26"/>
        <v>0010690003</v>
      </c>
      <c r="B942" s="6" t="str">
        <f>"097969"</f>
        <v>097969</v>
      </c>
      <c r="C942" s="6" t="s">
        <v>529</v>
      </c>
      <c r="D942" s="6" t="s">
        <v>438</v>
      </c>
      <c r="E942" s="6" t="s">
        <v>13</v>
      </c>
      <c r="F942" s="6">
        <v>3</v>
      </c>
      <c r="G942" s="6" t="s">
        <v>530</v>
      </c>
      <c r="H942" s="6" t="s">
        <v>531</v>
      </c>
      <c r="I942" s="6" t="s">
        <v>86</v>
      </c>
      <c r="J942" s="6" t="s">
        <v>87</v>
      </c>
      <c r="K942" s="7">
        <v>76.37</v>
      </c>
    </row>
    <row r="943" spans="1:11" s="4" customFormat="1" ht="10.199999999999999" x14ac:dyDescent="0.2">
      <c r="A943" s="6" t="str">
        <f t="shared" si="26"/>
        <v>0010690003</v>
      </c>
      <c r="B943" s="6" t="str">
        <f>"047503"</f>
        <v>047503</v>
      </c>
      <c r="C943" s="6" t="s">
        <v>536</v>
      </c>
      <c r="D943" s="6" t="s">
        <v>438</v>
      </c>
      <c r="E943" s="6" t="s">
        <v>13</v>
      </c>
      <c r="F943" s="6">
        <v>3</v>
      </c>
      <c r="G943" s="6" t="s">
        <v>530</v>
      </c>
      <c r="H943" s="6" t="s">
        <v>531</v>
      </c>
      <c r="I943" s="6" t="s">
        <v>409</v>
      </c>
      <c r="J943" s="6" t="s">
        <v>20</v>
      </c>
      <c r="K943" s="7">
        <v>45.82</v>
      </c>
    </row>
    <row r="944" spans="1:11" s="4" customFormat="1" ht="10.199999999999999" x14ac:dyDescent="0.2">
      <c r="A944" s="6" t="str">
        <f t="shared" si="26"/>
        <v>0010690003</v>
      </c>
      <c r="B944" s="6" t="str">
        <f>"085122"</f>
        <v>085122</v>
      </c>
      <c r="C944" s="6" t="s">
        <v>532</v>
      </c>
      <c r="D944" s="6" t="s">
        <v>438</v>
      </c>
      <c r="E944" s="6" t="s">
        <v>13</v>
      </c>
      <c r="F944" s="6">
        <v>3</v>
      </c>
      <c r="G944" s="6" t="s">
        <v>530</v>
      </c>
      <c r="H944" s="6" t="s">
        <v>531</v>
      </c>
      <c r="I944" s="6" t="s">
        <v>65</v>
      </c>
      <c r="J944" s="6" t="s">
        <v>20</v>
      </c>
      <c r="K944" s="7">
        <v>45.82</v>
      </c>
    </row>
    <row r="945" spans="1:11" s="4" customFormat="1" ht="10.199999999999999" x14ac:dyDescent="0.2">
      <c r="A945" s="6" t="str">
        <f t="shared" si="26"/>
        <v>0010690003</v>
      </c>
      <c r="B945" s="6" t="str">
        <f>"429862"</f>
        <v>429862</v>
      </c>
      <c r="C945" s="6" t="s">
        <v>533</v>
      </c>
      <c r="D945" s="6" t="s">
        <v>438</v>
      </c>
      <c r="E945" s="6" t="s">
        <v>13</v>
      </c>
      <c r="F945" s="6">
        <v>3</v>
      </c>
      <c r="G945" s="6" t="s">
        <v>530</v>
      </c>
      <c r="H945" s="6" t="s">
        <v>531</v>
      </c>
      <c r="I945" s="6" t="s">
        <v>30</v>
      </c>
      <c r="J945" s="6" t="s">
        <v>20</v>
      </c>
      <c r="K945" s="7">
        <v>45.82</v>
      </c>
    </row>
    <row r="946" spans="1:11" s="4" customFormat="1" ht="10.199999999999999" x14ac:dyDescent="0.2">
      <c r="A946" s="6" t="str">
        <f t="shared" si="26"/>
        <v>0010690003</v>
      </c>
      <c r="B946" s="6" t="str">
        <f>"489032"</f>
        <v>489032</v>
      </c>
      <c r="C946" s="6" t="s">
        <v>535</v>
      </c>
      <c r="D946" s="6" t="s">
        <v>438</v>
      </c>
      <c r="E946" s="6" t="s">
        <v>13</v>
      </c>
      <c r="F946" s="6">
        <v>3</v>
      </c>
      <c r="G946" s="6" t="s">
        <v>530</v>
      </c>
      <c r="H946" s="6" t="s">
        <v>531</v>
      </c>
      <c r="I946" s="6" t="s">
        <v>35</v>
      </c>
      <c r="J946" s="6" t="s">
        <v>20</v>
      </c>
      <c r="K946" s="7">
        <v>45.82</v>
      </c>
    </row>
    <row r="947" spans="1:11" s="4" customFormat="1" ht="10.199999999999999" x14ac:dyDescent="0.2">
      <c r="A947" s="6" t="str">
        <f t="shared" si="26"/>
        <v>0010690003</v>
      </c>
      <c r="B947" s="6" t="str">
        <f>"520647"</f>
        <v>520647</v>
      </c>
      <c r="C947" s="6" t="s">
        <v>534</v>
      </c>
      <c r="D947" s="6" t="s">
        <v>438</v>
      </c>
      <c r="E947" s="6" t="s">
        <v>13</v>
      </c>
      <c r="F947" s="6">
        <v>3</v>
      </c>
      <c r="G947" s="6" t="s">
        <v>530</v>
      </c>
      <c r="H947" s="6" t="s">
        <v>531</v>
      </c>
      <c r="I947" s="6" t="s">
        <v>19</v>
      </c>
      <c r="J947" s="6" t="s">
        <v>20</v>
      </c>
      <c r="K947" s="7">
        <v>45.82</v>
      </c>
    </row>
    <row r="948" spans="1:11" s="4" customFormat="1" ht="10.199999999999999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7"/>
    </row>
    <row r="949" spans="1:11" s="4" customFormat="1" ht="10.199999999999999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7"/>
    </row>
    <row r="950" spans="1:11" s="4" customFormat="1" ht="10.199999999999999" x14ac:dyDescent="0.2">
      <c r="A950" s="6" t="str">
        <f>"0011680030"</f>
        <v>0011680030</v>
      </c>
      <c r="B950" s="6" t="str">
        <f>"017238"</f>
        <v>017238</v>
      </c>
      <c r="C950" s="6" t="s">
        <v>537</v>
      </c>
      <c r="D950" s="6" t="s">
        <v>154</v>
      </c>
      <c r="E950" s="6" t="s">
        <v>13</v>
      </c>
      <c r="F950" s="6">
        <v>28</v>
      </c>
      <c r="G950" s="6" t="s">
        <v>530</v>
      </c>
      <c r="H950" s="6" t="s">
        <v>531</v>
      </c>
      <c r="I950" s="6" t="s">
        <v>477</v>
      </c>
      <c r="J950" s="6" t="s">
        <v>17</v>
      </c>
      <c r="K950" s="7">
        <v>234.45</v>
      </c>
    </row>
    <row r="951" spans="1:11" s="4" customFormat="1" ht="10.199999999999999" x14ac:dyDescent="0.2">
      <c r="A951" s="6" t="str">
        <f>"0011680030"</f>
        <v>0011680030</v>
      </c>
      <c r="B951" s="6" t="str">
        <f>"199136"</f>
        <v>199136</v>
      </c>
      <c r="C951" s="6" t="s">
        <v>536</v>
      </c>
      <c r="D951" s="6" t="s">
        <v>154</v>
      </c>
      <c r="E951" s="6" t="s">
        <v>13</v>
      </c>
      <c r="F951" s="6">
        <v>28</v>
      </c>
      <c r="G951" s="6" t="s">
        <v>530</v>
      </c>
      <c r="H951" s="6" t="s">
        <v>531</v>
      </c>
      <c r="I951" s="6" t="s">
        <v>409</v>
      </c>
      <c r="J951" s="6" t="s">
        <v>20</v>
      </c>
      <c r="K951" s="7">
        <v>140.66999999999999</v>
      </c>
    </row>
    <row r="952" spans="1:11" s="4" customFormat="1" ht="10.199999999999999" x14ac:dyDescent="0.2">
      <c r="A952" s="6" t="str">
        <f>"0011680030"</f>
        <v>0011680030</v>
      </c>
      <c r="B952" s="6" t="str">
        <f>"414089"</f>
        <v>414089</v>
      </c>
      <c r="C952" s="6" t="s">
        <v>534</v>
      </c>
      <c r="D952" s="6" t="s">
        <v>154</v>
      </c>
      <c r="E952" s="6" t="s">
        <v>13</v>
      </c>
      <c r="F952" s="6">
        <v>28</v>
      </c>
      <c r="G952" s="6" t="s">
        <v>530</v>
      </c>
      <c r="H952" s="6" t="s">
        <v>531</v>
      </c>
      <c r="I952" s="6" t="s">
        <v>19</v>
      </c>
      <c r="J952" s="6" t="s">
        <v>20</v>
      </c>
      <c r="K952" s="7">
        <v>140.66999999999999</v>
      </c>
    </row>
    <row r="953" spans="1:11" s="4" customFormat="1" ht="10.199999999999999" x14ac:dyDescent="0.2">
      <c r="A953" s="6" t="str">
        <f>"0011680030"</f>
        <v>0011680030</v>
      </c>
      <c r="B953" s="6" t="str">
        <f>"466701"</f>
        <v>466701</v>
      </c>
      <c r="C953" s="6" t="s">
        <v>535</v>
      </c>
      <c r="D953" s="6" t="s">
        <v>154</v>
      </c>
      <c r="E953" s="6" t="s">
        <v>13</v>
      </c>
      <c r="F953" s="6">
        <v>28</v>
      </c>
      <c r="G953" s="6" t="s">
        <v>530</v>
      </c>
      <c r="H953" s="6" t="s">
        <v>531</v>
      </c>
      <c r="I953" s="6" t="s">
        <v>35</v>
      </c>
      <c r="J953" s="6" t="s">
        <v>20</v>
      </c>
      <c r="K953" s="7">
        <v>140.66999999999999</v>
      </c>
    </row>
    <row r="954" spans="1:11" s="4" customFormat="1" ht="10.199999999999999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7"/>
    </row>
    <row r="955" spans="1:11" s="4" customFormat="1" ht="10.199999999999999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7"/>
    </row>
    <row r="956" spans="1:11" s="4" customFormat="1" ht="10.199999999999999" x14ac:dyDescent="0.2">
      <c r="A956" s="6" t="str">
        <f>"0010170012"</f>
        <v>0010170012</v>
      </c>
      <c r="B956" s="6" t="str">
        <f>"010746"</f>
        <v>010746</v>
      </c>
      <c r="C956" s="6" t="s">
        <v>538</v>
      </c>
      <c r="D956" s="6" t="s">
        <v>539</v>
      </c>
      <c r="E956" s="6" t="s">
        <v>13</v>
      </c>
      <c r="F956" s="6">
        <v>12</v>
      </c>
      <c r="G956" s="6" t="s">
        <v>540</v>
      </c>
      <c r="H956" s="6" t="s">
        <v>541</v>
      </c>
      <c r="I956" s="6" t="s">
        <v>35</v>
      </c>
      <c r="J956" s="6" t="s">
        <v>17</v>
      </c>
      <c r="K956" s="7">
        <v>76.77</v>
      </c>
    </row>
    <row r="957" spans="1:11" s="4" customFormat="1" ht="10.199999999999999" x14ac:dyDescent="0.2">
      <c r="A957" s="6" t="str">
        <f>"0010170012"</f>
        <v>0010170012</v>
      </c>
      <c r="B957" s="6" t="str">
        <f>"030047"</f>
        <v>030047</v>
      </c>
      <c r="C957" s="6" t="s">
        <v>542</v>
      </c>
      <c r="D957" s="6" t="s">
        <v>539</v>
      </c>
      <c r="E957" s="6" t="s">
        <v>13</v>
      </c>
      <c r="F957" s="6">
        <v>12</v>
      </c>
      <c r="G957" s="6" t="s">
        <v>540</v>
      </c>
      <c r="H957" s="6" t="s">
        <v>541</v>
      </c>
      <c r="I957" s="6" t="s">
        <v>274</v>
      </c>
      <c r="J957" s="6" t="s">
        <v>20</v>
      </c>
      <c r="K957" s="7">
        <v>46.06</v>
      </c>
    </row>
    <row r="958" spans="1:11" s="4" customFormat="1" ht="10.199999999999999" x14ac:dyDescent="0.2">
      <c r="A958" s="6" t="str">
        <f>"0010170012"</f>
        <v>0010170012</v>
      </c>
      <c r="B958" s="6" t="str">
        <f>"157664"</f>
        <v>157664</v>
      </c>
      <c r="C958" s="6" t="s">
        <v>543</v>
      </c>
      <c r="D958" s="6" t="s">
        <v>539</v>
      </c>
      <c r="E958" s="6" t="s">
        <v>13</v>
      </c>
      <c r="F958" s="6">
        <v>12</v>
      </c>
      <c r="G958" s="6" t="s">
        <v>540</v>
      </c>
      <c r="H958" s="6" t="s">
        <v>541</v>
      </c>
      <c r="I958" s="6" t="s">
        <v>37</v>
      </c>
      <c r="J958" s="6" t="s">
        <v>20</v>
      </c>
      <c r="K958" s="7">
        <v>46.06</v>
      </c>
    </row>
    <row r="959" spans="1:11" s="4" customFormat="1" ht="10.199999999999999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7"/>
    </row>
    <row r="960" spans="1:11" s="4" customFormat="1" ht="10.199999999999999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7"/>
    </row>
    <row r="961" spans="1:11" s="4" customFormat="1" ht="10.199999999999999" x14ac:dyDescent="0.2">
      <c r="A961" s="6" t="str">
        <f>"0007630100"</f>
        <v>0007630100</v>
      </c>
      <c r="B961" s="6" t="str">
        <f>"435222"</f>
        <v>435222</v>
      </c>
      <c r="C961" s="6" t="s">
        <v>544</v>
      </c>
      <c r="D961" s="6" t="s">
        <v>166</v>
      </c>
      <c r="E961" s="6" t="s">
        <v>135</v>
      </c>
      <c r="F961" s="6">
        <v>100</v>
      </c>
      <c r="G961" s="6" t="s">
        <v>545</v>
      </c>
      <c r="H961" s="6" t="s">
        <v>546</v>
      </c>
      <c r="I961" s="6" t="s">
        <v>547</v>
      </c>
      <c r="J961" s="6" t="s">
        <v>17</v>
      </c>
      <c r="K961" s="7">
        <v>47.49</v>
      </c>
    </row>
    <row r="962" spans="1:11" s="4" customFormat="1" ht="10.199999999999999" x14ac:dyDescent="0.2">
      <c r="A962" s="6" t="str">
        <f>"0007630100"</f>
        <v>0007630100</v>
      </c>
      <c r="B962" s="6" t="str">
        <f>"488046"</f>
        <v>488046</v>
      </c>
      <c r="C962" s="6" t="s">
        <v>544</v>
      </c>
      <c r="D962" s="6" t="s">
        <v>166</v>
      </c>
      <c r="E962" s="6" t="s">
        <v>135</v>
      </c>
      <c r="F962" s="6">
        <v>100</v>
      </c>
      <c r="G962" s="6" t="s">
        <v>545</v>
      </c>
      <c r="H962" s="6" t="s">
        <v>546</v>
      </c>
      <c r="I962" s="6" t="s">
        <v>86</v>
      </c>
      <c r="J962" s="6" t="s">
        <v>87</v>
      </c>
      <c r="K962" s="7">
        <v>47.49</v>
      </c>
    </row>
    <row r="963" spans="1:11" s="4" customFormat="1" ht="10.199999999999999" x14ac:dyDescent="0.2">
      <c r="A963" s="6" t="str">
        <f>"0007630100"</f>
        <v>0007630100</v>
      </c>
      <c r="B963" s="6" t="str">
        <f>"148620"</f>
        <v>148620</v>
      </c>
      <c r="C963" s="6" t="s">
        <v>548</v>
      </c>
      <c r="D963" s="6" t="s">
        <v>166</v>
      </c>
      <c r="E963" s="6" t="s">
        <v>135</v>
      </c>
      <c r="F963" s="6" t="s">
        <v>183</v>
      </c>
      <c r="G963" s="6" t="s">
        <v>545</v>
      </c>
      <c r="H963" s="6" t="s">
        <v>546</v>
      </c>
      <c r="I963" s="6" t="s">
        <v>549</v>
      </c>
      <c r="J963" s="6" t="s">
        <v>20</v>
      </c>
      <c r="K963" s="7">
        <v>46.15</v>
      </c>
    </row>
    <row r="964" spans="1:11" s="4" customFormat="1" ht="10.199999999999999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7"/>
    </row>
    <row r="965" spans="1:11" s="4" customFormat="1" ht="10.199999999999999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7"/>
    </row>
    <row r="966" spans="1:11" s="4" customFormat="1" ht="10.199999999999999" x14ac:dyDescent="0.2">
      <c r="A966" s="6" t="str">
        <f t="shared" ref="A966:A973" si="27">"0003290006"</f>
        <v>0003290006</v>
      </c>
      <c r="B966" s="6" t="str">
        <f>"184432"</f>
        <v>184432</v>
      </c>
      <c r="C966" s="6" t="s">
        <v>550</v>
      </c>
      <c r="D966" s="6" t="s">
        <v>157</v>
      </c>
      <c r="E966" s="6" t="s">
        <v>68</v>
      </c>
      <c r="F966" s="6">
        <v>6</v>
      </c>
      <c r="G966" s="6" t="s">
        <v>551</v>
      </c>
      <c r="H966" s="6" t="s">
        <v>552</v>
      </c>
      <c r="I966" s="6" t="s">
        <v>49</v>
      </c>
      <c r="J966" s="6" t="s">
        <v>17</v>
      </c>
      <c r="K966" s="7">
        <v>26.52</v>
      </c>
    </row>
    <row r="967" spans="1:11" s="4" customFormat="1" ht="10.199999999999999" x14ac:dyDescent="0.2">
      <c r="A967" s="6" t="str">
        <f t="shared" si="27"/>
        <v>0003290006</v>
      </c>
      <c r="B967" s="6" t="str">
        <f>"435594"</f>
        <v>435594</v>
      </c>
      <c r="C967" s="6" t="s">
        <v>553</v>
      </c>
      <c r="D967" s="6" t="s">
        <v>157</v>
      </c>
      <c r="E967" s="6" t="s">
        <v>13</v>
      </c>
      <c r="F967" s="6">
        <v>6</v>
      </c>
      <c r="G967" s="6" t="s">
        <v>551</v>
      </c>
      <c r="H967" s="6" t="s">
        <v>552</v>
      </c>
      <c r="I967" s="6" t="s">
        <v>49</v>
      </c>
      <c r="J967" s="6" t="s">
        <v>17</v>
      </c>
      <c r="K967" s="7">
        <v>26.52</v>
      </c>
    </row>
    <row r="968" spans="1:11" s="4" customFormat="1" ht="10.199999999999999" x14ac:dyDescent="0.2">
      <c r="A968" s="6" t="str">
        <f t="shared" si="27"/>
        <v>0003290006</v>
      </c>
      <c r="B968" s="6" t="str">
        <f>"089497"</f>
        <v>089497</v>
      </c>
      <c r="C968" s="6" t="s">
        <v>554</v>
      </c>
      <c r="D968" s="6" t="s">
        <v>157</v>
      </c>
      <c r="E968" s="6" t="s">
        <v>13</v>
      </c>
      <c r="F968" s="6">
        <v>6</v>
      </c>
      <c r="G968" s="6" t="s">
        <v>551</v>
      </c>
      <c r="H968" s="6" t="s">
        <v>552</v>
      </c>
      <c r="I968" s="6" t="s">
        <v>35</v>
      </c>
      <c r="J968" s="6" t="s">
        <v>20</v>
      </c>
      <c r="K968" s="7">
        <v>15.91</v>
      </c>
    </row>
    <row r="969" spans="1:11" s="4" customFormat="1" ht="10.199999999999999" x14ac:dyDescent="0.2">
      <c r="A969" s="6" t="str">
        <f t="shared" si="27"/>
        <v>0003290006</v>
      </c>
      <c r="B969" s="6" t="str">
        <f>"089520"</f>
        <v>089520</v>
      </c>
      <c r="C969" s="6" t="s">
        <v>554</v>
      </c>
      <c r="D969" s="6" t="s">
        <v>157</v>
      </c>
      <c r="E969" s="6" t="s">
        <v>68</v>
      </c>
      <c r="F969" s="6">
        <v>6</v>
      </c>
      <c r="G969" s="6" t="s">
        <v>551</v>
      </c>
      <c r="H969" s="6" t="s">
        <v>552</v>
      </c>
      <c r="I969" s="6" t="s">
        <v>35</v>
      </c>
      <c r="J969" s="6" t="s">
        <v>20</v>
      </c>
      <c r="K969" s="7">
        <v>15.91</v>
      </c>
    </row>
    <row r="970" spans="1:11" s="4" customFormat="1" ht="10.199999999999999" x14ac:dyDescent="0.2">
      <c r="A970" s="6" t="str">
        <f t="shared" si="27"/>
        <v>0003290006</v>
      </c>
      <c r="B970" s="6" t="str">
        <f>"114615"</f>
        <v>114615</v>
      </c>
      <c r="C970" s="6" t="s">
        <v>555</v>
      </c>
      <c r="D970" s="6" t="s">
        <v>157</v>
      </c>
      <c r="E970" s="6" t="s">
        <v>68</v>
      </c>
      <c r="F970" s="6">
        <v>6</v>
      </c>
      <c r="G970" s="6" t="s">
        <v>551</v>
      </c>
      <c r="H970" s="6" t="s">
        <v>552</v>
      </c>
      <c r="I970" s="6" t="s">
        <v>37</v>
      </c>
      <c r="J970" s="6" t="s">
        <v>20</v>
      </c>
      <c r="K970" s="7">
        <v>15.91</v>
      </c>
    </row>
    <row r="971" spans="1:11" s="4" customFormat="1" ht="10.199999999999999" x14ac:dyDescent="0.2">
      <c r="A971" s="6" t="str">
        <f t="shared" si="27"/>
        <v>0003290006</v>
      </c>
      <c r="B971" s="6" t="str">
        <f>"172236"</f>
        <v>172236</v>
      </c>
      <c r="C971" s="6" t="s">
        <v>556</v>
      </c>
      <c r="D971" s="6" t="s">
        <v>157</v>
      </c>
      <c r="E971" s="6" t="s">
        <v>68</v>
      </c>
      <c r="F971" s="6">
        <v>6</v>
      </c>
      <c r="G971" s="6" t="s">
        <v>551</v>
      </c>
      <c r="H971" s="6" t="s">
        <v>552</v>
      </c>
      <c r="I971" s="6" t="s">
        <v>274</v>
      </c>
      <c r="J971" s="6" t="s">
        <v>20</v>
      </c>
      <c r="K971" s="7">
        <v>15.91</v>
      </c>
    </row>
    <row r="972" spans="1:11" s="4" customFormat="1" ht="10.199999999999999" x14ac:dyDescent="0.2">
      <c r="A972" s="6" t="str">
        <f t="shared" si="27"/>
        <v>0003290006</v>
      </c>
      <c r="B972" s="6" t="str">
        <f>"188257"</f>
        <v>188257</v>
      </c>
      <c r="C972" s="6" t="s">
        <v>557</v>
      </c>
      <c r="D972" s="6" t="s">
        <v>157</v>
      </c>
      <c r="E972" s="6" t="s">
        <v>82</v>
      </c>
      <c r="F972" s="6">
        <v>6</v>
      </c>
      <c r="G972" s="6" t="s">
        <v>551</v>
      </c>
      <c r="H972" s="6" t="s">
        <v>552</v>
      </c>
      <c r="I972" s="6" t="s">
        <v>65</v>
      </c>
      <c r="J972" s="6" t="s">
        <v>20</v>
      </c>
      <c r="K972" s="7">
        <v>15.91</v>
      </c>
    </row>
    <row r="973" spans="1:11" s="4" customFormat="1" ht="10.199999999999999" x14ac:dyDescent="0.2">
      <c r="A973" s="6" t="str">
        <f t="shared" si="27"/>
        <v>0003290006</v>
      </c>
      <c r="B973" s="6" t="str">
        <f>"401116"</f>
        <v>401116</v>
      </c>
      <c r="C973" s="6" t="s">
        <v>558</v>
      </c>
      <c r="D973" s="6" t="s">
        <v>157</v>
      </c>
      <c r="E973" s="6" t="s">
        <v>68</v>
      </c>
      <c r="F973" s="6">
        <v>6</v>
      </c>
      <c r="G973" s="6" t="s">
        <v>551</v>
      </c>
      <c r="H973" s="6" t="s">
        <v>552</v>
      </c>
      <c r="I973" s="6" t="s">
        <v>65</v>
      </c>
      <c r="J973" s="6" t="s">
        <v>20</v>
      </c>
      <c r="K973" s="7">
        <v>15.91</v>
      </c>
    </row>
    <row r="974" spans="1:11" s="4" customFormat="1" ht="10.199999999999999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7"/>
    </row>
    <row r="975" spans="1:11" s="4" customFormat="1" ht="10.199999999999999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7"/>
    </row>
    <row r="976" spans="1:11" s="4" customFormat="1" ht="10.199999999999999" x14ac:dyDescent="0.2">
      <c r="A976" s="6" t="str">
        <f>"0009210003"</f>
        <v>0009210003</v>
      </c>
      <c r="B976" s="6" t="str">
        <f>"015805"</f>
        <v>015805</v>
      </c>
      <c r="C976" s="6" t="s">
        <v>559</v>
      </c>
      <c r="D976" s="6" t="s">
        <v>237</v>
      </c>
      <c r="E976" s="6" t="s">
        <v>13</v>
      </c>
      <c r="F976" s="6">
        <v>3</v>
      </c>
      <c r="G976" s="6" t="s">
        <v>560</v>
      </c>
      <c r="H976" s="6" t="s">
        <v>561</v>
      </c>
      <c r="I976" s="6" t="s">
        <v>562</v>
      </c>
      <c r="J976" s="6" t="s">
        <v>17</v>
      </c>
      <c r="K976" s="7">
        <v>11.4</v>
      </c>
    </row>
    <row r="977" spans="1:11" s="4" customFormat="1" ht="10.199999999999999" x14ac:dyDescent="0.2">
      <c r="A977" s="6" t="str">
        <f>"0009210003"</f>
        <v>0009210003</v>
      </c>
      <c r="B977" s="6" t="str">
        <f>"114217"</f>
        <v>114217</v>
      </c>
      <c r="C977" s="6" t="s">
        <v>563</v>
      </c>
      <c r="D977" s="6" t="s">
        <v>237</v>
      </c>
      <c r="E977" s="6" t="s">
        <v>13</v>
      </c>
      <c r="F977" s="6">
        <v>3</v>
      </c>
      <c r="G977" s="6" t="s">
        <v>560</v>
      </c>
      <c r="H977" s="6" t="s">
        <v>561</v>
      </c>
      <c r="I977" s="6" t="s">
        <v>37</v>
      </c>
      <c r="J977" s="6" t="s">
        <v>20</v>
      </c>
      <c r="K977" s="7">
        <v>6.84</v>
      </c>
    </row>
    <row r="978" spans="1:11" s="4" customFormat="1" ht="10.199999999999999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7"/>
    </row>
    <row r="979" spans="1:11" s="4" customFormat="1" ht="10.199999999999999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7"/>
    </row>
    <row r="980" spans="1:11" s="4" customFormat="1" ht="10.199999999999999" x14ac:dyDescent="0.2">
      <c r="A980" s="6" t="str">
        <f>"0009210006"</f>
        <v>0009210006</v>
      </c>
      <c r="B980" s="6" t="str">
        <f>"015816"</f>
        <v>015816</v>
      </c>
      <c r="C980" s="6" t="s">
        <v>559</v>
      </c>
      <c r="D980" s="6" t="s">
        <v>237</v>
      </c>
      <c r="E980" s="6" t="s">
        <v>13</v>
      </c>
      <c r="F980" s="6">
        <v>6</v>
      </c>
      <c r="G980" s="6" t="s">
        <v>560</v>
      </c>
      <c r="H980" s="6" t="s">
        <v>561</v>
      </c>
      <c r="I980" s="6" t="s">
        <v>562</v>
      </c>
      <c r="J980" s="6" t="s">
        <v>17</v>
      </c>
      <c r="K980" s="7">
        <v>22.8</v>
      </c>
    </row>
    <row r="981" spans="1:11" s="4" customFormat="1" ht="10.199999999999999" x14ac:dyDescent="0.2">
      <c r="A981" s="6" t="str">
        <f>"0009210006"</f>
        <v>0009210006</v>
      </c>
      <c r="B981" s="6" t="str">
        <f>"022365"</f>
        <v>022365</v>
      </c>
      <c r="C981" s="6" t="s">
        <v>559</v>
      </c>
      <c r="D981" s="6" t="s">
        <v>237</v>
      </c>
      <c r="E981" s="6" t="s">
        <v>13</v>
      </c>
      <c r="F981" s="6">
        <v>6</v>
      </c>
      <c r="G981" s="6" t="s">
        <v>560</v>
      </c>
      <c r="H981" s="6" t="s">
        <v>561</v>
      </c>
      <c r="I981" s="6" t="s">
        <v>86</v>
      </c>
      <c r="J981" s="6" t="s">
        <v>87</v>
      </c>
      <c r="K981" s="7">
        <v>22.8</v>
      </c>
    </row>
    <row r="982" spans="1:11" s="4" customFormat="1" ht="10.199999999999999" x14ac:dyDescent="0.2">
      <c r="A982" s="6" t="str">
        <f>"0009210006"</f>
        <v>0009210006</v>
      </c>
      <c r="B982" s="6" t="str">
        <f>"485525"</f>
        <v>485525</v>
      </c>
      <c r="C982" s="6" t="s">
        <v>563</v>
      </c>
      <c r="D982" s="6" t="s">
        <v>237</v>
      </c>
      <c r="E982" s="6" t="s">
        <v>13</v>
      </c>
      <c r="F982" s="6">
        <v>6</v>
      </c>
      <c r="G982" s="6" t="s">
        <v>560</v>
      </c>
      <c r="H982" s="6" t="s">
        <v>561</v>
      </c>
      <c r="I982" s="6" t="s">
        <v>37</v>
      </c>
      <c r="J982" s="6" t="s">
        <v>20</v>
      </c>
      <c r="K982" s="7">
        <v>13.68</v>
      </c>
    </row>
    <row r="983" spans="1:11" s="4" customFormat="1" ht="10.199999999999999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7"/>
    </row>
    <row r="984" spans="1:11" s="4" customFormat="1" ht="10.199999999999999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7"/>
    </row>
    <row r="985" spans="1:11" s="4" customFormat="1" ht="10.199999999999999" x14ac:dyDescent="0.2">
      <c r="A985" s="6" t="str">
        <f>"0009210009"</f>
        <v>0009210009</v>
      </c>
      <c r="B985" s="6" t="str">
        <f>"015827"</f>
        <v>015827</v>
      </c>
      <c r="C985" s="6" t="s">
        <v>559</v>
      </c>
      <c r="D985" s="6" t="s">
        <v>237</v>
      </c>
      <c r="E985" s="6" t="s">
        <v>13</v>
      </c>
      <c r="F985" s="6">
        <v>9</v>
      </c>
      <c r="G985" s="6" t="s">
        <v>560</v>
      </c>
      <c r="H985" s="6" t="s">
        <v>561</v>
      </c>
      <c r="I985" s="6" t="s">
        <v>562</v>
      </c>
      <c r="J985" s="6" t="s">
        <v>17</v>
      </c>
      <c r="K985" s="7">
        <v>33.6</v>
      </c>
    </row>
    <row r="986" spans="1:11" s="4" customFormat="1" ht="10.199999999999999" x14ac:dyDescent="0.2">
      <c r="A986" s="6" t="str">
        <f>"0009210009"</f>
        <v>0009210009</v>
      </c>
      <c r="B986" s="6" t="str">
        <f>"017789"</f>
        <v>017789</v>
      </c>
      <c r="C986" s="6" t="s">
        <v>559</v>
      </c>
      <c r="D986" s="6" t="s">
        <v>237</v>
      </c>
      <c r="E986" s="6" t="s">
        <v>13</v>
      </c>
      <c r="F986" s="6">
        <v>9</v>
      </c>
      <c r="G986" s="6" t="s">
        <v>560</v>
      </c>
      <c r="H986" s="6" t="s">
        <v>561</v>
      </c>
      <c r="I986" s="6" t="s">
        <v>86</v>
      </c>
      <c r="J986" s="6" t="s">
        <v>87</v>
      </c>
      <c r="K986" s="7">
        <v>33.6</v>
      </c>
    </row>
    <row r="987" spans="1:11" s="4" customFormat="1" ht="10.199999999999999" x14ac:dyDescent="0.2">
      <c r="A987" s="6" t="str">
        <f>"0009210009"</f>
        <v>0009210009</v>
      </c>
      <c r="B987" s="6" t="str">
        <f>"432486"</f>
        <v>432486</v>
      </c>
      <c r="C987" s="6" t="s">
        <v>563</v>
      </c>
      <c r="D987" s="6" t="s">
        <v>237</v>
      </c>
      <c r="E987" s="6" t="s">
        <v>13</v>
      </c>
      <c r="F987" s="6">
        <v>9</v>
      </c>
      <c r="G987" s="6" t="s">
        <v>560</v>
      </c>
      <c r="H987" s="6" t="s">
        <v>561</v>
      </c>
      <c r="I987" s="6" t="s">
        <v>37</v>
      </c>
      <c r="J987" s="6" t="s">
        <v>20</v>
      </c>
      <c r="K987" s="7">
        <v>20.16</v>
      </c>
    </row>
    <row r="988" spans="1:11" s="4" customFormat="1" ht="10.199999999999999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7"/>
    </row>
    <row r="989" spans="1:11" s="4" customFormat="1" ht="10.199999999999999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7"/>
    </row>
    <row r="990" spans="1:11" s="4" customFormat="1" ht="10.199999999999999" x14ac:dyDescent="0.2">
      <c r="A990" s="6" t="str">
        <f>"0009210012"</f>
        <v>0009210012</v>
      </c>
      <c r="B990" s="6" t="str">
        <f>"009083"</f>
        <v>009083</v>
      </c>
      <c r="C990" s="6" t="s">
        <v>559</v>
      </c>
      <c r="D990" s="6" t="s">
        <v>237</v>
      </c>
      <c r="E990" s="6" t="s">
        <v>13</v>
      </c>
      <c r="F990" s="6">
        <v>12</v>
      </c>
      <c r="G990" s="6" t="s">
        <v>560</v>
      </c>
      <c r="H990" s="6" t="s">
        <v>561</v>
      </c>
      <c r="I990" s="6" t="s">
        <v>562</v>
      </c>
      <c r="J990" s="6" t="s">
        <v>17</v>
      </c>
      <c r="K990" s="7">
        <v>44.83</v>
      </c>
    </row>
    <row r="991" spans="1:11" s="4" customFormat="1" ht="10.199999999999999" x14ac:dyDescent="0.2">
      <c r="A991" s="6" t="str">
        <f>"0009210012"</f>
        <v>0009210012</v>
      </c>
      <c r="B991" s="6" t="str">
        <f>"503184"</f>
        <v>503184</v>
      </c>
      <c r="C991" s="6" t="s">
        <v>563</v>
      </c>
      <c r="D991" s="6" t="s">
        <v>237</v>
      </c>
      <c r="E991" s="6" t="s">
        <v>13</v>
      </c>
      <c r="F991" s="6">
        <v>12</v>
      </c>
      <c r="G991" s="6" t="s">
        <v>560</v>
      </c>
      <c r="H991" s="6" t="s">
        <v>561</v>
      </c>
      <c r="I991" s="6" t="s">
        <v>37</v>
      </c>
      <c r="J991" s="6" t="s">
        <v>20</v>
      </c>
      <c r="K991" s="7">
        <v>26.9</v>
      </c>
    </row>
    <row r="992" spans="1:11" s="4" customFormat="1" ht="10.199999999999999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7"/>
    </row>
    <row r="993" spans="1:11" s="4" customFormat="1" ht="10.199999999999999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7"/>
    </row>
    <row r="994" spans="1:11" s="4" customFormat="1" ht="30.6" x14ac:dyDescent="0.2">
      <c r="A994" s="6" t="str">
        <f>"0003410100"</f>
        <v>0003410100</v>
      </c>
      <c r="B994" s="6" t="str">
        <f>"106656"</f>
        <v>106656</v>
      </c>
      <c r="C994" s="6" t="s">
        <v>564</v>
      </c>
      <c r="D994" s="6" t="s">
        <v>565</v>
      </c>
      <c r="E994" s="6" t="s">
        <v>135</v>
      </c>
      <c r="F994" s="6">
        <v>100</v>
      </c>
      <c r="G994" s="6" t="s">
        <v>566</v>
      </c>
      <c r="H994" s="6" t="s">
        <v>567</v>
      </c>
      <c r="I994" s="6" t="s">
        <v>207</v>
      </c>
      <c r="J994" s="6" t="s">
        <v>17</v>
      </c>
      <c r="K994" s="7">
        <v>27</v>
      </c>
    </row>
    <row r="995" spans="1:11" s="4" customFormat="1" ht="30.6" x14ac:dyDescent="0.2">
      <c r="A995" s="6" t="str">
        <f>"0003410100"</f>
        <v>0003410100</v>
      </c>
      <c r="B995" s="6" t="str">
        <f>"119068"</f>
        <v>119068</v>
      </c>
      <c r="C995" s="6" t="s">
        <v>568</v>
      </c>
      <c r="D995" s="6" t="s">
        <v>569</v>
      </c>
      <c r="E995" s="6" t="s">
        <v>135</v>
      </c>
      <c r="F995" s="6">
        <v>100</v>
      </c>
      <c r="G995" s="6" t="s">
        <v>566</v>
      </c>
      <c r="H995" s="6" t="s">
        <v>567</v>
      </c>
      <c r="I995" s="6" t="s">
        <v>37</v>
      </c>
      <c r="J995" s="6" t="s">
        <v>20</v>
      </c>
      <c r="K995" s="7">
        <v>16.2</v>
      </c>
    </row>
    <row r="996" spans="1:11" s="4" customFormat="1" ht="30.6" x14ac:dyDescent="0.2">
      <c r="A996" s="6" t="str">
        <f>"0003410100"</f>
        <v>0003410100</v>
      </c>
      <c r="B996" s="6" t="str">
        <f>"386616"</f>
        <v>386616</v>
      </c>
      <c r="C996" s="6" t="s">
        <v>570</v>
      </c>
      <c r="D996" s="6" t="s">
        <v>569</v>
      </c>
      <c r="E996" s="6" t="s">
        <v>135</v>
      </c>
      <c r="F996" s="6">
        <v>100</v>
      </c>
      <c r="G996" s="6" t="s">
        <v>566</v>
      </c>
      <c r="H996" s="6" t="s">
        <v>567</v>
      </c>
      <c r="I996" s="6" t="s">
        <v>90</v>
      </c>
      <c r="J996" s="6" t="s">
        <v>20</v>
      </c>
      <c r="K996" s="7">
        <v>16.2</v>
      </c>
    </row>
    <row r="997" spans="1:11" s="4" customFormat="1" ht="10.199999999999999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7"/>
    </row>
    <row r="998" spans="1:11" s="4" customFormat="1" ht="10.199999999999999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7"/>
    </row>
    <row r="999" spans="1:11" s="4" customFormat="1" ht="40.799999999999997" x14ac:dyDescent="0.2">
      <c r="A999" s="6" t="str">
        <f>"0008050100"</f>
        <v>0008050100</v>
      </c>
      <c r="B999" s="6" t="str">
        <f>"015652"</f>
        <v>015652</v>
      </c>
      <c r="C999" s="6" t="s">
        <v>571</v>
      </c>
      <c r="D999" s="6" t="s">
        <v>572</v>
      </c>
      <c r="E999" s="6" t="s">
        <v>13</v>
      </c>
      <c r="F999" s="6">
        <v>100</v>
      </c>
      <c r="G999" s="6" t="s">
        <v>573</v>
      </c>
      <c r="H999" s="6" t="s">
        <v>574</v>
      </c>
      <c r="I999" s="6" t="s">
        <v>144</v>
      </c>
      <c r="J999" s="6" t="s">
        <v>17</v>
      </c>
      <c r="K999" s="7">
        <v>85.47</v>
      </c>
    </row>
    <row r="1000" spans="1:11" s="4" customFormat="1" ht="40.799999999999997" x14ac:dyDescent="0.2">
      <c r="A1000" s="6" t="str">
        <f>"0008050100"</f>
        <v>0008050100</v>
      </c>
      <c r="B1000" s="6" t="str">
        <f>"512236"</f>
        <v>512236</v>
      </c>
      <c r="C1000" s="6" t="s">
        <v>575</v>
      </c>
      <c r="D1000" s="6" t="s">
        <v>572</v>
      </c>
      <c r="E1000" s="6" t="s">
        <v>13</v>
      </c>
      <c r="F1000" s="6">
        <v>100</v>
      </c>
      <c r="G1000" s="6" t="s">
        <v>573</v>
      </c>
      <c r="H1000" s="6" t="s">
        <v>574</v>
      </c>
      <c r="I1000" s="6" t="s">
        <v>576</v>
      </c>
      <c r="J1000" s="6" t="s">
        <v>20</v>
      </c>
      <c r="K1000" s="7">
        <v>51.28</v>
      </c>
    </row>
    <row r="1001" spans="1:11" s="4" customFormat="1" ht="40.799999999999997" x14ac:dyDescent="0.2">
      <c r="A1001" s="6" t="str">
        <f>"0008050100"</f>
        <v>0008050100</v>
      </c>
      <c r="B1001" s="6" t="str">
        <f>"521507"</f>
        <v>521507</v>
      </c>
      <c r="C1001" s="6" t="s">
        <v>577</v>
      </c>
      <c r="D1001" s="6" t="s">
        <v>572</v>
      </c>
      <c r="E1001" s="6" t="s">
        <v>13</v>
      </c>
      <c r="F1001" s="6">
        <v>100</v>
      </c>
      <c r="G1001" s="6" t="s">
        <v>573</v>
      </c>
      <c r="H1001" s="6" t="s">
        <v>574</v>
      </c>
      <c r="I1001" s="6" t="s">
        <v>124</v>
      </c>
      <c r="J1001" s="6" t="s">
        <v>20</v>
      </c>
      <c r="K1001" s="7">
        <v>51.28</v>
      </c>
    </row>
    <row r="1002" spans="1:11" s="4" customFormat="1" ht="10.199999999999999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7"/>
    </row>
    <row r="1003" spans="1:11" s="4" customFormat="1" ht="10.199999999999999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7"/>
    </row>
    <row r="1004" spans="1:11" s="4" customFormat="1" ht="40.799999999999997" x14ac:dyDescent="0.2">
      <c r="A1004" s="6" t="str">
        <f>"0008100100"</f>
        <v>0008100100</v>
      </c>
      <c r="B1004" s="6" t="str">
        <f>"015718"</f>
        <v>015718</v>
      </c>
      <c r="C1004" s="6" t="s">
        <v>571</v>
      </c>
      <c r="D1004" s="6" t="s">
        <v>578</v>
      </c>
      <c r="E1004" s="6" t="s">
        <v>13</v>
      </c>
      <c r="F1004" s="6">
        <v>100</v>
      </c>
      <c r="G1004" s="6" t="s">
        <v>573</v>
      </c>
      <c r="H1004" s="6" t="s">
        <v>574</v>
      </c>
      <c r="I1004" s="6" t="s">
        <v>144</v>
      </c>
      <c r="J1004" s="6" t="s">
        <v>17</v>
      </c>
      <c r="K1004" s="7">
        <v>85.47</v>
      </c>
    </row>
    <row r="1005" spans="1:11" s="4" customFormat="1" ht="40.799999999999997" x14ac:dyDescent="0.2">
      <c r="A1005" s="6" t="str">
        <f>"0008100100"</f>
        <v>0008100100</v>
      </c>
      <c r="B1005" s="6" t="str">
        <f>"046132"</f>
        <v>046132</v>
      </c>
      <c r="C1005" s="6" t="s">
        <v>571</v>
      </c>
      <c r="D1005" s="6" t="s">
        <v>578</v>
      </c>
      <c r="E1005" s="6" t="s">
        <v>13</v>
      </c>
      <c r="F1005" s="6">
        <v>100</v>
      </c>
      <c r="G1005" s="6" t="s">
        <v>573</v>
      </c>
      <c r="H1005" s="6" t="s">
        <v>574</v>
      </c>
      <c r="I1005" s="6" t="s">
        <v>86</v>
      </c>
      <c r="J1005" s="6" t="s">
        <v>87</v>
      </c>
      <c r="K1005" s="7">
        <v>85.47</v>
      </c>
    </row>
    <row r="1006" spans="1:11" s="4" customFormat="1" ht="40.799999999999997" x14ac:dyDescent="0.2">
      <c r="A1006" s="6" t="str">
        <f>"0008100100"</f>
        <v>0008100100</v>
      </c>
      <c r="B1006" s="6" t="str">
        <f>"416317"</f>
        <v>416317</v>
      </c>
      <c r="C1006" s="6" t="s">
        <v>575</v>
      </c>
      <c r="D1006" s="6" t="s">
        <v>578</v>
      </c>
      <c r="E1006" s="6" t="s">
        <v>13</v>
      </c>
      <c r="F1006" s="6">
        <v>100</v>
      </c>
      <c r="G1006" s="6" t="s">
        <v>573</v>
      </c>
      <c r="H1006" s="6" t="s">
        <v>574</v>
      </c>
      <c r="I1006" s="6" t="s">
        <v>576</v>
      </c>
      <c r="J1006" s="6" t="s">
        <v>20</v>
      </c>
      <c r="K1006" s="7">
        <v>51.28</v>
      </c>
    </row>
    <row r="1007" spans="1:11" s="4" customFormat="1" ht="40.799999999999997" x14ac:dyDescent="0.2">
      <c r="A1007" s="6" t="str">
        <f>"0008100100"</f>
        <v>0008100100</v>
      </c>
      <c r="B1007" s="6" t="str">
        <f>"472838"</f>
        <v>472838</v>
      </c>
      <c r="C1007" s="6" t="s">
        <v>577</v>
      </c>
      <c r="D1007" s="6" t="s">
        <v>578</v>
      </c>
      <c r="E1007" s="6" t="s">
        <v>13</v>
      </c>
      <c r="F1007" s="6">
        <v>100</v>
      </c>
      <c r="G1007" s="6" t="s">
        <v>573</v>
      </c>
      <c r="H1007" s="6" t="s">
        <v>574</v>
      </c>
      <c r="I1007" s="6" t="s">
        <v>124</v>
      </c>
      <c r="J1007" s="6" t="s">
        <v>20</v>
      </c>
      <c r="K1007" s="7">
        <v>51.28</v>
      </c>
    </row>
    <row r="1008" spans="1:11" s="4" customFormat="1" ht="10.199999999999999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7"/>
    </row>
    <row r="1009" spans="1:11" s="4" customFormat="1" ht="10.199999999999999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7"/>
    </row>
    <row r="1010" spans="1:11" s="4" customFormat="1" ht="40.799999999999997" x14ac:dyDescent="0.2">
      <c r="A1010" s="6" t="str">
        <f>"0008110100"</f>
        <v>0008110100</v>
      </c>
      <c r="B1010" s="6" t="str">
        <f>"015663"</f>
        <v>015663</v>
      </c>
      <c r="C1010" s="6" t="s">
        <v>571</v>
      </c>
      <c r="D1010" s="6" t="s">
        <v>579</v>
      </c>
      <c r="E1010" s="6" t="s">
        <v>13</v>
      </c>
      <c r="F1010" s="6">
        <v>100</v>
      </c>
      <c r="G1010" s="6" t="s">
        <v>573</v>
      </c>
      <c r="H1010" s="6" t="s">
        <v>574</v>
      </c>
      <c r="I1010" s="6" t="s">
        <v>144</v>
      </c>
      <c r="J1010" s="6" t="s">
        <v>17</v>
      </c>
      <c r="K1010" s="7">
        <v>85.47</v>
      </c>
    </row>
    <row r="1011" spans="1:11" s="4" customFormat="1" ht="40.799999999999997" x14ac:dyDescent="0.2">
      <c r="A1011" s="6" t="str">
        <f>"0008110100"</f>
        <v>0008110100</v>
      </c>
      <c r="B1011" s="6" t="str">
        <f>"460549"</f>
        <v>460549</v>
      </c>
      <c r="C1011" s="6" t="s">
        <v>575</v>
      </c>
      <c r="D1011" s="6" t="s">
        <v>579</v>
      </c>
      <c r="E1011" s="6" t="s">
        <v>13</v>
      </c>
      <c r="F1011" s="6">
        <v>100</v>
      </c>
      <c r="G1011" s="6" t="s">
        <v>573</v>
      </c>
      <c r="H1011" s="6" t="s">
        <v>574</v>
      </c>
      <c r="I1011" s="6" t="s">
        <v>576</v>
      </c>
      <c r="J1011" s="6" t="s">
        <v>20</v>
      </c>
      <c r="K1011" s="7">
        <v>51.28</v>
      </c>
    </row>
    <row r="1012" spans="1:11" s="4" customFormat="1" ht="40.799999999999997" x14ac:dyDescent="0.2">
      <c r="A1012" s="6" t="str">
        <f>"0008110100"</f>
        <v>0008110100</v>
      </c>
      <c r="B1012" s="6" t="str">
        <f>"526342"</f>
        <v>526342</v>
      </c>
      <c r="C1012" s="6" t="s">
        <v>577</v>
      </c>
      <c r="D1012" s="6" t="s">
        <v>579</v>
      </c>
      <c r="E1012" s="6" t="s">
        <v>13</v>
      </c>
      <c r="F1012" s="6">
        <v>100</v>
      </c>
      <c r="G1012" s="6" t="s">
        <v>573</v>
      </c>
      <c r="H1012" s="6" t="s">
        <v>574</v>
      </c>
      <c r="I1012" s="6" t="s">
        <v>124</v>
      </c>
      <c r="J1012" s="6" t="s">
        <v>20</v>
      </c>
      <c r="K1012" s="7">
        <v>51.28</v>
      </c>
    </row>
    <row r="1013" spans="1:11" s="4" customFormat="1" ht="10.199999999999999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7"/>
    </row>
    <row r="1014" spans="1:11" s="4" customFormat="1" ht="40.799999999999997" x14ac:dyDescent="0.2">
      <c r="A1014" s="6" t="str">
        <f>"0012710100"</f>
        <v>0012710100</v>
      </c>
      <c r="B1014" s="6" t="str">
        <f>"032157"</f>
        <v>032157</v>
      </c>
      <c r="C1014" s="6" t="s">
        <v>571</v>
      </c>
      <c r="D1014" s="6" t="s">
        <v>580</v>
      </c>
      <c r="E1014" s="6" t="s">
        <v>13</v>
      </c>
      <c r="F1014" s="6">
        <v>100</v>
      </c>
      <c r="G1014" s="6" t="s">
        <v>573</v>
      </c>
      <c r="H1014" s="6" t="s">
        <v>574</v>
      </c>
      <c r="I1014" s="6" t="s">
        <v>124</v>
      </c>
      <c r="J1014" s="6" t="s">
        <v>17</v>
      </c>
      <c r="K1014" s="7">
        <v>85.47</v>
      </c>
    </row>
    <row r="1015" spans="1:11" s="4" customFormat="1" ht="40.799999999999997" x14ac:dyDescent="0.2">
      <c r="A1015" s="6" t="str">
        <f>"0012710100"</f>
        <v>0012710100</v>
      </c>
      <c r="B1015" s="6" t="str">
        <f>"566299"</f>
        <v>566299</v>
      </c>
      <c r="C1015" s="6" t="s">
        <v>577</v>
      </c>
      <c r="D1015" s="6" t="s">
        <v>580</v>
      </c>
      <c r="E1015" s="6" t="s">
        <v>13</v>
      </c>
      <c r="F1015" s="6">
        <v>100</v>
      </c>
      <c r="G1015" s="6" t="s">
        <v>573</v>
      </c>
      <c r="H1015" s="6" t="s">
        <v>574</v>
      </c>
      <c r="I1015" s="6" t="s">
        <v>124</v>
      </c>
      <c r="J1015" s="6" t="s">
        <v>20</v>
      </c>
      <c r="K1015" s="7">
        <v>51.28</v>
      </c>
    </row>
    <row r="1016" spans="1:11" s="4" customFormat="1" ht="10.199999999999999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7"/>
    </row>
    <row r="1017" spans="1:11" s="4" customFormat="1" ht="10.199999999999999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7"/>
    </row>
    <row r="1018" spans="1:11" s="4" customFormat="1" ht="40.799999999999997" x14ac:dyDescent="0.2">
      <c r="A1018" s="6" t="str">
        <f>"0012720100"</f>
        <v>0012720100</v>
      </c>
      <c r="B1018" s="6" t="str">
        <f>"140974"</f>
        <v>140974</v>
      </c>
      <c r="C1018" s="6" t="s">
        <v>571</v>
      </c>
      <c r="D1018" s="6" t="s">
        <v>581</v>
      </c>
      <c r="E1018" s="6" t="s">
        <v>13</v>
      </c>
      <c r="F1018" s="6">
        <v>100</v>
      </c>
      <c r="G1018" s="6" t="s">
        <v>573</v>
      </c>
      <c r="H1018" s="6" t="s">
        <v>574</v>
      </c>
      <c r="I1018" s="6" t="s">
        <v>124</v>
      </c>
      <c r="J1018" s="6" t="s">
        <v>17</v>
      </c>
      <c r="K1018" s="7">
        <v>85.47</v>
      </c>
    </row>
    <row r="1019" spans="1:11" s="4" customFormat="1" ht="40.799999999999997" x14ac:dyDescent="0.2">
      <c r="A1019" s="6" t="str">
        <f>"0012720100"</f>
        <v>0012720100</v>
      </c>
      <c r="B1019" s="6" t="str">
        <f>"098578"</f>
        <v>098578</v>
      </c>
      <c r="C1019" s="6" t="s">
        <v>577</v>
      </c>
      <c r="D1019" s="6" t="s">
        <v>581</v>
      </c>
      <c r="E1019" s="6" t="s">
        <v>13</v>
      </c>
      <c r="F1019" s="6">
        <v>100</v>
      </c>
      <c r="G1019" s="6" t="s">
        <v>573</v>
      </c>
      <c r="H1019" s="6" t="s">
        <v>574</v>
      </c>
      <c r="I1019" s="6" t="s">
        <v>124</v>
      </c>
      <c r="J1019" s="6" t="s">
        <v>20</v>
      </c>
      <c r="K1019" s="7">
        <v>51.28</v>
      </c>
    </row>
    <row r="1020" spans="1:11" s="4" customFormat="1" ht="40.799999999999997" x14ac:dyDescent="0.2">
      <c r="A1020" s="6" t="str">
        <f>"0012720100"</f>
        <v>0012720100</v>
      </c>
      <c r="B1020" s="6" t="str">
        <f>"424054"</f>
        <v>424054</v>
      </c>
      <c r="C1020" s="6" t="s">
        <v>575</v>
      </c>
      <c r="D1020" s="6" t="s">
        <v>581</v>
      </c>
      <c r="E1020" s="6" t="s">
        <v>13</v>
      </c>
      <c r="F1020" s="6">
        <v>100</v>
      </c>
      <c r="G1020" s="6" t="s">
        <v>573</v>
      </c>
      <c r="H1020" s="6" t="s">
        <v>574</v>
      </c>
      <c r="I1020" s="6" t="s">
        <v>576</v>
      </c>
      <c r="J1020" s="6" t="s">
        <v>20</v>
      </c>
      <c r="K1020" s="7">
        <v>51.28</v>
      </c>
    </row>
    <row r="1021" spans="1:11" s="4" customFormat="1" ht="10.199999999999999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7"/>
    </row>
    <row r="1022" spans="1:11" s="4" customFormat="1" ht="10.199999999999999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7"/>
    </row>
    <row r="1023" spans="1:11" s="4" customFormat="1" ht="40.799999999999997" x14ac:dyDescent="0.2">
      <c r="A1023" s="6" t="str">
        <f>"0012730100"</f>
        <v>0012730100</v>
      </c>
      <c r="B1023" s="6" t="str">
        <f>"032124"</f>
        <v>032124</v>
      </c>
      <c r="C1023" s="6" t="s">
        <v>571</v>
      </c>
      <c r="D1023" s="6" t="s">
        <v>582</v>
      </c>
      <c r="E1023" s="6" t="s">
        <v>13</v>
      </c>
      <c r="F1023" s="6">
        <v>100</v>
      </c>
      <c r="G1023" s="6" t="s">
        <v>573</v>
      </c>
      <c r="H1023" s="6" t="s">
        <v>574</v>
      </c>
      <c r="I1023" s="6" t="s">
        <v>124</v>
      </c>
      <c r="J1023" s="6" t="s">
        <v>17</v>
      </c>
      <c r="K1023" s="7">
        <v>85.47</v>
      </c>
    </row>
    <row r="1024" spans="1:11" s="4" customFormat="1" ht="40.799999999999997" x14ac:dyDescent="0.2">
      <c r="A1024" s="6" t="str">
        <f>"0012730100"</f>
        <v>0012730100</v>
      </c>
      <c r="B1024" s="6" t="str">
        <f>"440709"</f>
        <v>440709</v>
      </c>
      <c r="C1024" s="6" t="s">
        <v>577</v>
      </c>
      <c r="D1024" s="6" t="s">
        <v>582</v>
      </c>
      <c r="E1024" s="6" t="s">
        <v>13</v>
      </c>
      <c r="F1024" s="6">
        <v>100</v>
      </c>
      <c r="G1024" s="6" t="s">
        <v>573</v>
      </c>
      <c r="H1024" s="6" t="s">
        <v>574</v>
      </c>
      <c r="I1024" s="6" t="s">
        <v>124</v>
      </c>
      <c r="J1024" s="6" t="s">
        <v>20</v>
      </c>
      <c r="K1024" s="7">
        <v>51.28</v>
      </c>
    </row>
    <row r="1025" spans="1:11" s="4" customFormat="1" ht="10.199999999999999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7"/>
    </row>
    <row r="1026" spans="1:11" s="4" customFormat="1" ht="10.199999999999999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7"/>
    </row>
    <row r="1027" spans="1:11" s="4" customFormat="1" ht="40.799999999999997" x14ac:dyDescent="0.2">
      <c r="A1027" s="6" t="str">
        <f>"0014450100"</f>
        <v>0014450100</v>
      </c>
      <c r="B1027" s="6" t="str">
        <f>"491775"</f>
        <v>491775</v>
      </c>
      <c r="C1027" s="6" t="s">
        <v>571</v>
      </c>
      <c r="D1027" s="6" t="s">
        <v>583</v>
      </c>
      <c r="E1027" s="6" t="s">
        <v>13</v>
      </c>
      <c r="F1027" s="6">
        <v>100</v>
      </c>
      <c r="G1027" s="6" t="s">
        <v>573</v>
      </c>
      <c r="H1027" s="6" t="s">
        <v>574</v>
      </c>
      <c r="I1027" s="6" t="s">
        <v>211</v>
      </c>
      <c r="J1027" s="6" t="s">
        <v>17</v>
      </c>
      <c r="K1027" s="7">
        <v>85.47</v>
      </c>
    </row>
    <row r="1028" spans="1:11" s="4" customFormat="1" ht="40.799999999999997" x14ac:dyDescent="0.2">
      <c r="A1028" s="6" t="str">
        <f>"0014450100"</f>
        <v>0014450100</v>
      </c>
      <c r="B1028" s="6" t="str">
        <f>"050035"</f>
        <v>050035</v>
      </c>
      <c r="C1028" s="6" t="s">
        <v>577</v>
      </c>
      <c r="D1028" s="6" t="s">
        <v>583</v>
      </c>
      <c r="E1028" s="6" t="s">
        <v>13</v>
      </c>
      <c r="F1028" s="6">
        <v>100</v>
      </c>
      <c r="G1028" s="6" t="s">
        <v>573</v>
      </c>
      <c r="H1028" s="6" t="s">
        <v>574</v>
      </c>
      <c r="I1028" s="6" t="s">
        <v>211</v>
      </c>
      <c r="J1028" s="6" t="s">
        <v>20</v>
      </c>
      <c r="K1028" s="7">
        <v>51.28</v>
      </c>
    </row>
    <row r="1029" spans="1:11" s="4" customFormat="1" ht="40.799999999999997" x14ac:dyDescent="0.2">
      <c r="A1029" s="6" t="str">
        <f>"0014450100"</f>
        <v>0014450100</v>
      </c>
      <c r="B1029" s="6" t="str">
        <f>"064366"</f>
        <v>064366</v>
      </c>
      <c r="C1029" s="6" t="s">
        <v>575</v>
      </c>
      <c r="D1029" s="6" t="s">
        <v>583</v>
      </c>
      <c r="E1029" s="6" t="s">
        <v>13</v>
      </c>
      <c r="F1029" s="6">
        <v>100</v>
      </c>
      <c r="G1029" s="6" t="s">
        <v>573</v>
      </c>
      <c r="H1029" s="6" t="s">
        <v>574</v>
      </c>
      <c r="I1029" s="6" t="s">
        <v>576</v>
      </c>
      <c r="J1029" s="6" t="s">
        <v>20</v>
      </c>
      <c r="K1029" s="7">
        <v>51.28</v>
      </c>
    </row>
    <row r="1030" spans="1:11" s="4" customFormat="1" ht="10.199999999999999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7"/>
    </row>
    <row r="1031" spans="1:11" s="4" customFormat="1" ht="10.199999999999999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7"/>
    </row>
    <row r="1032" spans="1:11" s="4" customFormat="1" ht="10.199999999999999" x14ac:dyDescent="0.2">
      <c r="A1032" s="6" t="str">
        <f>"0012290084"</f>
        <v>0012290084</v>
      </c>
      <c r="B1032" s="6" t="str">
        <f>"037287"</f>
        <v>037287</v>
      </c>
      <c r="C1032" s="6" t="s">
        <v>584</v>
      </c>
      <c r="D1032" s="6" t="s">
        <v>106</v>
      </c>
      <c r="E1032" s="6" t="s">
        <v>135</v>
      </c>
      <c r="F1032" s="6">
        <v>84</v>
      </c>
      <c r="G1032" s="6" t="s">
        <v>585</v>
      </c>
      <c r="H1032" s="6" t="s">
        <v>586</v>
      </c>
      <c r="I1032" s="6" t="s">
        <v>342</v>
      </c>
      <c r="J1032" s="6" t="s">
        <v>17</v>
      </c>
      <c r="K1032" s="7">
        <v>65.36</v>
      </c>
    </row>
    <row r="1033" spans="1:11" s="4" customFormat="1" ht="10.199999999999999" x14ac:dyDescent="0.2">
      <c r="A1033" s="6" t="str">
        <f>"0012290084"</f>
        <v>0012290084</v>
      </c>
      <c r="B1033" s="6" t="str">
        <f>"167662"</f>
        <v>167662</v>
      </c>
      <c r="C1033" s="6" t="s">
        <v>587</v>
      </c>
      <c r="D1033" s="6" t="s">
        <v>106</v>
      </c>
      <c r="E1033" s="6" t="s">
        <v>135</v>
      </c>
      <c r="F1033" s="6">
        <v>84</v>
      </c>
      <c r="G1033" s="6" t="s">
        <v>585</v>
      </c>
      <c r="H1033" s="6" t="s">
        <v>586</v>
      </c>
      <c r="I1033" s="6" t="s">
        <v>37</v>
      </c>
      <c r="J1033" s="6" t="s">
        <v>20</v>
      </c>
      <c r="K1033" s="7">
        <v>39.22</v>
      </c>
    </row>
    <row r="1034" spans="1:11" s="4" customFormat="1" ht="10.199999999999999" x14ac:dyDescent="0.2">
      <c r="A1034" s="6" t="str">
        <f>"0012290084"</f>
        <v>0012290084</v>
      </c>
      <c r="B1034" s="6" t="str">
        <f>"501834"</f>
        <v>501834</v>
      </c>
      <c r="C1034" s="6" t="s">
        <v>588</v>
      </c>
      <c r="D1034" s="6" t="s">
        <v>106</v>
      </c>
      <c r="E1034" s="6" t="s">
        <v>135</v>
      </c>
      <c r="F1034" s="6">
        <v>84</v>
      </c>
      <c r="G1034" s="6" t="s">
        <v>585</v>
      </c>
      <c r="H1034" s="6" t="s">
        <v>586</v>
      </c>
      <c r="I1034" s="6" t="s">
        <v>65</v>
      </c>
      <c r="J1034" s="6" t="s">
        <v>20</v>
      </c>
      <c r="K1034" s="7">
        <v>39.22</v>
      </c>
    </row>
    <row r="1035" spans="1:11" s="4" customFormat="1" ht="10.199999999999999" x14ac:dyDescent="0.2">
      <c r="A1035" s="6" t="str">
        <f>"0012290084"</f>
        <v>0012290084</v>
      </c>
      <c r="B1035" s="6" t="str">
        <f>"579635"</f>
        <v>579635</v>
      </c>
      <c r="C1035" s="6" t="s">
        <v>589</v>
      </c>
      <c r="D1035" s="6" t="s">
        <v>106</v>
      </c>
      <c r="E1035" s="6" t="s">
        <v>135</v>
      </c>
      <c r="F1035" s="6">
        <v>84</v>
      </c>
      <c r="G1035" s="6" t="s">
        <v>585</v>
      </c>
      <c r="H1035" s="6" t="s">
        <v>586</v>
      </c>
      <c r="I1035" s="6" t="s">
        <v>28</v>
      </c>
      <c r="J1035" s="6" t="s">
        <v>20</v>
      </c>
      <c r="K1035" s="7">
        <v>39.22</v>
      </c>
    </row>
    <row r="1036" spans="1:11" s="4" customFormat="1" ht="20.399999999999999" x14ac:dyDescent="0.2">
      <c r="A1036" s="6" t="str">
        <f>"0012290084"</f>
        <v>0012290084</v>
      </c>
      <c r="B1036" s="6" t="str">
        <f>"596277"</f>
        <v>596277</v>
      </c>
      <c r="C1036" s="6" t="s">
        <v>590</v>
      </c>
      <c r="D1036" s="6" t="s">
        <v>106</v>
      </c>
      <c r="E1036" s="6" t="s">
        <v>135</v>
      </c>
      <c r="F1036" s="6">
        <v>84</v>
      </c>
      <c r="G1036" s="6" t="s">
        <v>585</v>
      </c>
      <c r="H1036" s="6" t="s">
        <v>586</v>
      </c>
      <c r="I1036" s="6" t="s">
        <v>124</v>
      </c>
      <c r="J1036" s="6" t="s">
        <v>20</v>
      </c>
      <c r="K1036" s="7">
        <v>39.22</v>
      </c>
    </row>
    <row r="1037" spans="1:11" s="4" customFormat="1" ht="10.199999999999999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7"/>
    </row>
    <row r="1038" spans="1:11" s="4" customFormat="1" ht="10.199999999999999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7"/>
    </row>
    <row r="1039" spans="1:11" s="4" customFormat="1" ht="10.199999999999999" x14ac:dyDescent="0.2">
      <c r="A1039" s="6" t="str">
        <f>"0012300084"</f>
        <v>0012300084</v>
      </c>
      <c r="B1039" s="6" t="str">
        <f>"037305"</f>
        <v>037305</v>
      </c>
      <c r="C1039" s="6" t="s">
        <v>584</v>
      </c>
      <c r="D1039" s="6" t="s">
        <v>59</v>
      </c>
      <c r="E1039" s="6" t="s">
        <v>135</v>
      </c>
      <c r="F1039" s="6">
        <v>84</v>
      </c>
      <c r="G1039" s="6" t="s">
        <v>585</v>
      </c>
      <c r="H1039" s="6" t="s">
        <v>586</v>
      </c>
      <c r="I1039" s="6" t="s">
        <v>342</v>
      </c>
      <c r="J1039" s="6" t="s">
        <v>17</v>
      </c>
      <c r="K1039" s="7">
        <v>118.84</v>
      </c>
    </row>
    <row r="1040" spans="1:11" s="4" customFormat="1" ht="20.399999999999999" x14ac:dyDescent="0.2">
      <c r="A1040" s="6" t="str">
        <f>"0012300084"</f>
        <v>0012300084</v>
      </c>
      <c r="B1040" s="6" t="str">
        <f>"373077"</f>
        <v>373077</v>
      </c>
      <c r="C1040" s="6" t="s">
        <v>590</v>
      </c>
      <c r="D1040" s="6" t="s">
        <v>59</v>
      </c>
      <c r="E1040" s="6" t="s">
        <v>135</v>
      </c>
      <c r="F1040" s="6">
        <v>84</v>
      </c>
      <c r="G1040" s="6" t="s">
        <v>585</v>
      </c>
      <c r="H1040" s="6" t="s">
        <v>586</v>
      </c>
      <c r="I1040" s="6" t="s">
        <v>124</v>
      </c>
      <c r="J1040" s="6" t="s">
        <v>20</v>
      </c>
      <c r="K1040" s="7">
        <v>71.3</v>
      </c>
    </row>
    <row r="1041" spans="1:11" s="4" customFormat="1" ht="10.199999999999999" x14ac:dyDescent="0.2">
      <c r="A1041" s="6" t="str">
        <f>"0012300084"</f>
        <v>0012300084</v>
      </c>
      <c r="B1041" s="6" t="str">
        <f>"542413"</f>
        <v>542413</v>
      </c>
      <c r="C1041" s="6" t="s">
        <v>588</v>
      </c>
      <c r="D1041" s="6" t="s">
        <v>59</v>
      </c>
      <c r="E1041" s="6" t="s">
        <v>135</v>
      </c>
      <c r="F1041" s="6">
        <v>84</v>
      </c>
      <c r="G1041" s="6" t="s">
        <v>585</v>
      </c>
      <c r="H1041" s="6" t="s">
        <v>586</v>
      </c>
      <c r="I1041" s="6" t="s">
        <v>65</v>
      </c>
      <c r="J1041" s="6" t="s">
        <v>20</v>
      </c>
      <c r="K1041" s="7">
        <v>71.3</v>
      </c>
    </row>
    <row r="1042" spans="1:11" s="4" customFormat="1" ht="10.199999999999999" x14ac:dyDescent="0.2">
      <c r="A1042" s="6" t="str">
        <f>"0012300084"</f>
        <v>0012300084</v>
      </c>
      <c r="B1042" s="6" t="str">
        <f>"545455"</f>
        <v>545455</v>
      </c>
      <c r="C1042" s="6" t="s">
        <v>589</v>
      </c>
      <c r="D1042" s="6" t="s">
        <v>59</v>
      </c>
      <c r="E1042" s="6" t="s">
        <v>135</v>
      </c>
      <c r="F1042" s="6">
        <v>84</v>
      </c>
      <c r="G1042" s="6" t="s">
        <v>585</v>
      </c>
      <c r="H1042" s="6" t="s">
        <v>586</v>
      </c>
      <c r="I1042" s="6" t="s">
        <v>28</v>
      </c>
      <c r="J1042" s="6" t="s">
        <v>20</v>
      </c>
      <c r="K1042" s="7">
        <v>71.3</v>
      </c>
    </row>
    <row r="1043" spans="1:11" s="4" customFormat="1" ht="10.199999999999999" x14ac:dyDescent="0.2">
      <c r="A1043" s="6" t="str">
        <f>"0012300084"</f>
        <v>0012300084</v>
      </c>
      <c r="B1043" s="6" t="str">
        <f>"579211"</f>
        <v>579211</v>
      </c>
      <c r="C1043" s="6" t="s">
        <v>587</v>
      </c>
      <c r="D1043" s="6" t="s">
        <v>59</v>
      </c>
      <c r="E1043" s="6" t="s">
        <v>135</v>
      </c>
      <c r="F1043" s="6">
        <v>84</v>
      </c>
      <c r="G1043" s="6" t="s">
        <v>585</v>
      </c>
      <c r="H1043" s="6" t="s">
        <v>586</v>
      </c>
      <c r="I1043" s="6" t="s">
        <v>37</v>
      </c>
      <c r="J1043" s="6" t="s">
        <v>20</v>
      </c>
      <c r="K1043" s="7">
        <v>71.3</v>
      </c>
    </row>
    <row r="1044" spans="1:11" s="4" customFormat="1" ht="10.199999999999999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7"/>
    </row>
    <row r="1045" spans="1:11" s="4" customFormat="1" ht="10.199999999999999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7"/>
    </row>
    <row r="1046" spans="1:11" s="4" customFormat="1" ht="10.199999999999999" x14ac:dyDescent="0.2">
      <c r="A1046" s="6" t="str">
        <f>"0012310084"</f>
        <v>0012310084</v>
      </c>
      <c r="B1046" s="6" t="str">
        <f>"037323"</f>
        <v>037323</v>
      </c>
      <c r="C1046" s="6" t="s">
        <v>584</v>
      </c>
      <c r="D1046" s="6" t="s">
        <v>71</v>
      </c>
      <c r="E1046" s="6" t="s">
        <v>135</v>
      </c>
      <c r="F1046" s="6">
        <v>84</v>
      </c>
      <c r="G1046" s="6" t="s">
        <v>585</v>
      </c>
      <c r="H1046" s="6" t="s">
        <v>586</v>
      </c>
      <c r="I1046" s="6" t="s">
        <v>342</v>
      </c>
      <c r="J1046" s="6" t="s">
        <v>17</v>
      </c>
      <c r="K1046" s="7">
        <v>216.08</v>
      </c>
    </row>
    <row r="1047" spans="1:11" s="4" customFormat="1" ht="10.199999999999999" x14ac:dyDescent="0.2">
      <c r="A1047" s="6" t="str">
        <f>"0012310084"</f>
        <v>0012310084</v>
      </c>
      <c r="B1047" s="6" t="str">
        <f>"114619"</f>
        <v>114619</v>
      </c>
      <c r="C1047" s="6" t="s">
        <v>587</v>
      </c>
      <c r="D1047" s="6" t="s">
        <v>71</v>
      </c>
      <c r="E1047" s="6" t="s">
        <v>135</v>
      </c>
      <c r="F1047" s="6">
        <v>84</v>
      </c>
      <c r="G1047" s="6" t="s">
        <v>585</v>
      </c>
      <c r="H1047" s="6" t="s">
        <v>586</v>
      </c>
      <c r="I1047" s="6" t="s">
        <v>37</v>
      </c>
      <c r="J1047" s="6" t="s">
        <v>20</v>
      </c>
      <c r="K1047" s="7">
        <v>129.65</v>
      </c>
    </row>
    <row r="1048" spans="1:11" s="4" customFormat="1" ht="20.399999999999999" x14ac:dyDescent="0.2">
      <c r="A1048" s="6" t="str">
        <f>"0012310084"</f>
        <v>0012310084</v>
      </c>
      <c r="B1048" s="6" t="str">
        <f>"124989"</f>
        <v>124989</v>
      </c>
      <c r="C1048" s="6" t="s">
        <v>590</v>
      </c>
      <c r="D1048" s="6" t="s">
        <v>71</v>
      </c>
      <c r="E1048" s="6" t="s">
        <v>135</v>
      </c>
      <c r="F1048" s="6">
        <v>84</v>
      </c>
      <c r="G1048" s="6" t="s">
        <v>585</v>
      </c>
      <c r="H1048" s="6" t="s">
        <v>586</v>
      </c>
      <c r="I1048" s="6" t="s">
        <v>124</v>
      </c>
      <c r="J1048" s="6" t="s">
        <v>20</v>
      </c>
      <c r="K1048" s="7">
        <v>129.65</v>
      </c>
    </row>
    <row r="1049" spans="1:11" s="4" customFormat="1" ht="10.199999999999999" x14ac:dyDescent="0.2">
      <c r="A1049" s="6" t="str">
        <f>"0012310084"</f>
        <v>0012310084</v>
      </c>
      <c r="B1049" s="6" t="str">
        <f>"135262"</f>
        <v>135262</v>
      </c>
      <c r="C1049" s="6" t="s">
        <v>589</v>
      </c>
      <c r="D1049" s="6" t="s">
        <v>71</v>
      </c>
      <c r="E1049" s="6" t="s">
        <v>135</v>
      </c>
      <c r="F1049" s="6">
        <v>84</v>
      </c>
      <c r="G1049" s="6" t="s">
        <v>585</v>
      </c>
      <c r="H1049" s="6" t="s">
        <v>586</v>
      </c>
      <c r="I1049" s="6" t="s">
        <v>28</v>
      </c>
      <c r="J1049" s="6" t="s">
        <v>20</v>
      </c>
      <c r="K1049" s="7">
        <v>129.65</v>
      </c>
    </row>
    <row r="1050" spans="1:11" s="4" customFormat="1" ht="10.199999999999999" x14ac:dyDescent="0.2">
      <c r="A1050" s="6" t="str">
        <f>"0012310084"</f>
        <v>0012310084</v>
      </c>
      <c r="B1050" s="6" t="str">
        <f>"499473"</f>
        <v>499473</v>
      </c>
      <c r="C1050" s="6" t="s">
        <v>588</v>
      </c>
      <c r="D1050" s="6" t="s">
        <v>71</v>
      </c>
      <c r="E1050" s="6" t="s">
        <v>135</v>
      </c>
      <c r="F1050" s="6">
        <v>84</v>
      </c>
      <c r="G1050" s="6" t="s">
        <v>585</v>
      </c>
      <c r="H1050" s="6" t="s">
        <v>586</v>
      </c>
      <c r="I1050" s="6" t="s">
        <v>65</v>
      </c>
      <c r="J1050" s="6" t="s">
        <v>20</v>
      </c>
      <c r="K1050" s="7">
        <v>129.65</v>
      </c>
    </row>
    <row r="1051" spans="1:11" s="4" customFormat="1" ht="10.199999999999999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7"/>
    </row>
    <row r="1052" spans="1:11" s="4" customFormat="1" ht="10.199999999999999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7"/>
    </row>
    <row r="1053" spans="1:11" s="4" customFormat="1" ht="20.399999999999999" x14ac:dyDescent="0.2">
      <c r="A1053" s="6" t="str">
        <f>"0008500030"</f>
        <v>0008500030</v>
      </c>
      <c r="B1053" s="6" t="str">
        <f>"141432"</f>
        <v>141432</v>
      </c>
      <c r="C1053" s="6" t="s">
        <v>591</v>
      </c>
      <c r="D1053" s="6" t="s">
        <v>592</v>
      </c>
      <c r="E1053" s="6" t="s">
        <v>82</v>
      </c>
      <c r="F1053" s="6">
        <v>30</v>
      </c>
      <c r="G1053" s="6" t="s">
        <v>593</v>
      </c>
      <c r="H1053" s="6" t="s">
        <v>594</v>
      </c>
      <c r="I1053" s="6" t="s">
        <v>121</v>
      </c>
      <c r="J1053" s="6" t="s">
        <v>17</v>
      </c>
      <c r="K1053" s="7">
        <v>15.74</v>
      </c>
    </row>
    <row r="1054" spans="1:11" s="4" customFormat="1" ht="10.199999999999999" x14ac:dyDescent="0.2">
      <c r="A1054" s="6" t="str">
        <f>"0008500030"</f>
        <v>0008500030</v>
      </c>
      <c r="B1054" s="6" t="str">
        <f>"028508"</f>
        <v>028508</v>
      </c>
      <c r="C1054" s="6" t="s">
        <v>595</v>
      </c>
      <c r="D1054" s="6" t="s">
        <v>592</v>
      </c>
      <c r="E1054" s="6" t="s">
        <v>82</v>
      </c>
      <c r="F1054" s="6">
        <v>30</v>
      </c>
      <c r="G1054" s="6" t="s">
        <v>593</v>
      </c>
      <c r="H1054" s="6" t="s">
        <v>594</v>
      </c>
      <c r="I1054" s="6" t="s">
        <v>103</v>
      </c>
      <c r="J1054" s="6" t="s">
        <v>20</v>
      </c>
      <c r="K1054" s="7">
        <v>9.44</v>
      </c>
    </row>
    <row r="1055" spans="1:11" s="4" customFormat="1" ht="20.399999999999999" x14ac:dyDescent="0.2">
      <c r="A1055" s="6" t="str">
        <f>"0008500030"</f>
        <v>0008500030</v>
      </c>
      <c r="B1055" s="6" t="str">
        <f>"102175"</f>
        <v>102175</v>
      </c>
      <c r="C1055" s="6" t="s">
        <v>596</v>
      </c>
      <c r="D1055" s="6" t="s">
        <v>592</v>
      </c>
      <c r="E1055" s="6" t="s">
        <v>82</v>
      </c>
      <c r="F1055" s="6">
        <v>30</v>
      </c>
      <c r="G1055" s="6" t="s">
        <v>593</v>
      </c>
      <c r="H1055" s="6" t="s">
        <v>594</v>
      </c>
      <c r="I1055" s="6" t="s">
        <v>124</v>
      </c>
      <c r="J1055" s="6" t="s">
        <v>20</v>
      </c>
      <c r="K1055" s="7">
        <v>9.44</v>
      </c>
    </row>
    <row r="1056" spans="1:11" s="4" customFormat="1" ht="10.199999999999999" x14ac:dyDescent="0.2">
      <c r="A1056" s="6" t="str">
        <f>"0008500030"</f>
        <v>0008500030</v>
      </c>
      <c r="B1056" s="6" t="str">
        <f>"487313"</f>
        <v>487313</v>
      </c>
      <c r="C1056" s="6" t="s">
        <v>597</v>
      </c>
      <c r="D1056" s="6" t="s">
        <v>592</v>
      </c>
      <c r="E1056" s="6" t="s">
        <v>82</v>
      </c>
      <c r="F1056" s="6">
        <v>30</v>
      </c>
      <c r="G1056" s="6" t="s">
        <v>593</v>
      </c>
      <c r="H1056" s="6" t="s">
        <v>594</v>
      </c>
      <c r="I1056" s="6" t="s">
        <v>90</v>
      </c>
      <c r="J1056" s="6" t="s">
        <v>20</v>
      </c>
      <c r="K1056" s="7">
        <v>9.44</v>
      </c>
    </row>
    <row r="1057" spans="1:11" s="4" customFormat="1" ht="10.199999999999999" x14ac:dyDescent="0.2">
      <c r="A1057" s="6" t="str">
        <f>"0008500030"</f>
        <v>0008500030</v>
      </c>
      <c r="B1057" s="6" t="str">
        <f>"092404"</f>
        <v>092404</v>
      </c>
      <c r="C1057" s="6" t="s">
        <v>598</v>
      </c>
      <c r="D1057" s="6" t="s">
        <v>592</v>
      </c>
      <c r="E1057" s="6" t="s">
        <v>82</v>
      </c>
      <c r="F1057" s="6">
        <v>30</v>
      </c>
      <c r="G1057" s="6" t="s">
        <v>593</v>
      </c>
      <c r="H1057" s="6" t="s">
        <v>594</v>
      </c>
      <c r="I1057" s="6" t="s">
        <v>65</v>
      </c>
      <c r="J1057" s="6" t="s">
        <v>20</v>
      </c>
      <c r="K1057" s="7">
        <v>9.44</v>
      </c>
    </row>
    <row r="1058" spans="1:11" s="4" customFormat="1" ht="10.199999999999999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7"/>
    </row>
    <row r="1059" spans="1:11" s="4" customFormat="1" ht="10.199999999999999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7"/>
    </row>
    <row r="1060" spans="1:11" s="4" customFormat="1" ht="20.399999999999999" x14ac:dyDescent="0.2">
      <c r="A1060" s="6" t="str">
        <f>"0010810030"</f>
        <v>0010810030</v>
      </c>
      <c r="B1060" s="6" t="str">
        <f>"140327"</f>
        <v>140327</v>
      </c>
      <c r="C1060" s="6" t="s">
        <v>591</v>
      </c>
      <c r="D1060" s="6" t="s">
        <v>599</v>
      </c>
      <c r="E1060" s="6" t="s">
        <v>82</v>
      </c>
      <c r="F1060" s="6">
        <v>30</v>
      </c>
      <c r="G1060" s="6" t="s">
        <v>593</v>
      </c>
      <c r="H1060" s="6" t="s">
        <v>594</v>
      </c>
      <c r="I1060" s="6" t="s">
        <v>121</v>
      </c>
      <c r="J1060" s="6" t="s">
        <v>17</v>
      </c>
      <c r="K1060" s="7">
        <v>8.08</v>
      </c>
    </row>
    <row r="1061" spans="1:11" s="4" customFormat="1" ht="10.199999999999999" x14ac:dyDescent="0.2">
      <c r="A1061" s="6" t="str">
        <f>"0010810030"</f>
        <v>0010810030</v>
      </c>
      <c r="B1061" s="6" t="str">
        <f>"028497"</f>
        <v>028497</v>
      </c>
      <c r="C1061" s="6" t="s">
        <v>595</v>
      </c>
      <c r="D1061" s="6" t="s">
        <v>599</v>
      </c>
      <c r="E1061" s="6" t="s">
        <v>82</v>
      </c>
      <c r="F1061" s="6">
        <v>30</v>
      </c>
      <c r="G1061" s="6" t="s">
        <v>593</v>
      </c>
      <c r="H1061" s="6" t="s">
        <v>594</v>
      </c>
      <c r="I1061" s="6" t="s">
        <v>103</v>
      </c>
      <c r="J1061" s="6" t="s">
        <v>20</v>
      </c>
      <c r="K1061" s="7">
        <v>4.8499999999999996</v>
      </c>
    </row>
    <row r="1062" spans="1:11" s="4" customFormat="1" ht="20.399999999999999" x14ac:dyDescent="0.2">
      <c r="A1062" s="6" t="str">
        <f>"0010810030"</f>
        <v>0010810030</v>
      </c>
      <c r="B1062" s="6" t="str">
        <f>"102164"</f>
        <v>102164</v>
      </c>
      <c r="C1062" s="6" t="s">
        <v>596</v>
      </c>
      <c r="D1062" s="6" t="s">
        <v>599</v>
      </c>
      <c r="E1062" s="6" t="s">
        <v>82</v>
      </c>
      <c r="F1062" s="6">
        <v>30</v>
      </c>
      <c r="G1062" s="6" t="s">
        <v>593</v>
      </c>
      <c r="H1062" s="6" t="s">
        <v>594</v>
      </c>
      <c r="I1062" s="6" t="s">
        <v>124</v>
      </c>
      <c r="J1062" s="6" t="s">
        <v>20</v>
      </c>
      <c r="K1062" s="7">
        <v>4.8499999999999996</v>
      </c>
    </row>
    <row r="1063" spans="1:11" s="4" customFormat="1" ht="10.199999999999999" x14ac:dyDescent="0.2">
      <c r="A1063" s="6" t="str">
        <f>"0010810030"</f>
        <v>0010810030</v>
      </c>
      <c r="B1063" s="6" t="str">
        <f>"174564"</f>
        <v>174564</v>
      </c>
      <c r="C1063" s="6" t="s">
        <v>597</v>
      </c>
      <c r="D1063" s="6" t="s">
        <v>599</v>
      </c>
      <c r="E1063" s="6" t="s">
        <v>82</v>
      </c>
      <c r="F1063" s="6">
        <v>30</v>
      </c>
      <c r="G1063" s="6" t="s">
        <v>593</v>
      </c>
      <c r="H1063" s="6" t="s">
        <v>594</v>
      </c>
      <c r="I1063" s="6" t="s">
        <v>90</v>
      </c>
      <c r="J1063" s="6" t="s">
        <v>20</v>
      </c>
      <c r="K1063" s="7">
        <v>4.8499999999999996</v>
      </c>
    </row>
    <row r="1064" spans="1:11" s="4" customFormat="1" ht="10.199999999999999" x14ac:dyDescent="0.2">
      <c r="A1064" s="6" t="str">
        <f>"0010810030"</f>
        <v>0010810030</v>
      </c>
      <c r="B1064" s="6" t="str">
        <f>"092392"</f>
        <v>092392</v>
      </c>
      <c r="C1064" s="6" t="s">
        <v>598</v>
      </c>
      <c r="D1064" s="6" t="s">
        <v>599</v>
      </c>
      <c r="E1064" s="6" t="s">
        <v>82</v>
      </c>
      <c r="F1064" s="6">
        <v>30</v>
      </c>
      <c r="G1064" s="6" t="s">
        <v>593</v>
      </c>
      <c r="H1064" s="6" t="s">
        <v>594</v>
      </c>
      <c r="I1064" s="6" t="s">
        <v>65</v>
      </c>
      <c r="J1064" s="6" t="s">
        <v>20</v>
      </c>
      <c r="K1064" s="7">
        <v>4.8499999999999996</v>
      </c>
    </row>
    <row r="1065" spans="1:11" s="4" customFormat="1" ht="10.199999999999999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7"/>
    </row>
    <row r="1066" spans="1:11" s="4" customFormat="1" ht="10.199999999999999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7"/>
    </row>
    <row r="1067" spans="1:11" s="4" customFormat="1" ht="20.399999999999999" x14ac:dyDescent="0.2">
      <c r="A1067" s="6" t="str">
        <f>"0011370030"</f>
        <v>0011370030</v>
      </c>
      <c r="B1067" s="6" t="str">
        <f>"050847"</f>
        <v>050847</v>
      </c>
      <c r="C1067" s="6" t="s">
        <v>591</v>
      </c>
      <c r="D1067" s="6" t="s">
        <v>600</v>
      </c>
      <c r="E1067" s="6" t="s">
        <v>135</v>
      </c>
      <c r="F1067" s="6">
        <v>30</v>
      </c>
      <c r="G1067" s="6" t="s">
        <v>593</v>
      </c>
      <c r="H1067" s="6" t="s">
        <v>594</v>
      </c>
      <c r="I1067" s="6" t="s">
        <v>601</v>
      </c>
      <c r="J1067" s="6" t="s">
        <v>17</v>
      </c>
      <c r="K1067" s="7">
        <v>18.53</v>
      </c>
    </row>
    <row r="1068" spans="1:11" s="4" customFormat="1" ht="10.199999999999999" x14ac:dyDescent="0.2">
      <c r="A1068" s="6" t="str">
        <f>"0011370030"</f>
        <v>0011370030</v>
      </c>
      <c r="B1068" s="6" t="str">
        <f>"054844"</f>
        <v>054844</v>
      </c>
      <c r="C1068" s="6" t="s">
        <v>602</v>
      </c>
      <c r="D1068" s="6" t="s">
        <v>600</v>
      </c>
      <c r="E1068" s="6" t="s">
        <v>135</v>
      </c>
      <c r="F1068" s="6">
        <v>30</v>
      </c>
      <c r="G1068" s="6" t="s">
        <v>593</v>
      </c>
      <c r="H1068" s="6" t="s">
        <v>594</v>
      </c>
      <c r="I1068" s="6" t="s">
        <v>37</v>
      </c>
      <c r="J1068" s="6" t="s">
        <v>20</v>
      </c>
      <c r="K1068" s="7">
        <v>11.12</v>
      </c>
    </row>
    <row r="1069" spans="1:11" s="4" customFormat="1" ht="10.199999999999999" x14ac:dyDescent="0.2">
      <c r="A1069" s="6" t="str">
        <f>"0011370030"</f>
        <v>0011370030</v>
      </c>
      <c r="B1069" s="6" t="str">
        <f>"174522"</f>
        <v>174522</v>
      </c>
      <c r="C1069" s="6" t="s">
        <v>595</v>
      </c>
      <c r="D1069" s="6" t="s">
        <v>600</v>
      </c>
      <c r="E1069" s="6" t="s">
        <v>135</v>
      </c>
      <c r="F1069" s="6">
        <v>30</v>
      </c>
      <c r="G1069" s="6" t="s">
        <v>593</v>
      </c>
      <c r="H1069" s="6" t="s">
        <v>594</v>
      </c>
      <c r="I1069" s="6" t="s">
        <v>103</v>
      </c>
      <c r="J1069" s="6" t="s">
        <v>20</v>
      </c>
      <c r="K1069" s="7">
        <v>11.12</v>
      </c>
    </row>
    <row r="1070" spans="1:11" s="4" customFormat="1" ht="10.199999999999999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7"/>
    </row>
    <row r="1071" spans="1:11" s="4" customFormat="1" ht="10.199999999999999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7"/>
    </row>
    <row r="1072" spans="1:11" s="4" customFormat="1" ht="20.399999999999999" x14ac:dyDescent="0.2">
      <c r="A1072" s="6" t="str">
        <f>"0011370100"</f>
        <v>0011370100</v>
      </c>
      <c r="B1072" s="6" t="str">
        <f>"050836"</f>
        <v>050836</v>
      </c>
      <c r="C1072" s="6" t="s">
        <v>591</v>
      </c>
      <c r="D1072" s="6" t="s">
        <v>600</v>
      </c>
      <c r="E1072" s="6" t="s">
        <v>135</v>
      </c>
      <c r="F1072" s="6">
        <v>100</v>
      </c>
      <c r="G1072" s="6" t="s">
        <v>593</v>
      </c>
      <c r="H1072" s="6" t="s">
        <v>594</v>
      </c>
      <c r="I1072" s="6" t="s">
        <v>601</v>
      </c>
      <c r="J1072" s="6" t="s">
        <v>17</v>
      </c>
      <c r="K1072" s="7">
        <v>56.18</v>
      </c>
    </row>
    <row r="1073" spans="1:11" s="4" customFormat="1" ht="10.199999999999999" x14ac:dyDescent="0.2">
      <c r="A1073" s="6" t="str">
        <f>"0011370100"</f>
        <v>0011370100</v>
      </c>
      <c r="B1073" s="6" t="str">
        <f>"061546"</f>
        <v>061546</v>
      </c>
      <c r="C1073" s="6" t="s">
        <v>602</v>
      </c>
      <c r="D1073" s="6" t="s">
        <v>600</v>
      </c>
      <c r="E1073" s="6" t="s">
        <v>135</v>
      </c>
      <c r="F1073" s="6">
        <v>100</v>
      </c>
      <c r="G1073" s="6" t="s">
        <v>593</v>
      </c>
      <c r="H1073" s="6" t="s">
        <v>594</v>
      </c>
      <c r="I1073" s="6" t="s">
        <v>37</v>
      </c>
      <c r="J1073" s="6" t="s">
        <v>20</v>
      </c>
      <c r="K1073" s="7">
        <v>33.71</v>
      </c>
    </row>
    <row r="1074" spans="1:11" s="4" customFormat="1" ht="10.199999999999999" x14ac:dyDescent="0.2">
      <c r="A1074" s="6" t="str">
        <f>"0011370100"</f>
        <v>0011370100</v>
      </c>
      <c r="B1074" s="6" t="str">
        <f>"435033"</f>
        <v>435033</v>
      </c>
      <c r="C1074" s="6" t="s">
        <v>595</v>
      </c>
      <c r="D1074" s="6" t="s">
        <v>600</v>
      </c>
      <c r="E1074" s="6" t="s">
        <v>135</v>
      </c>
      <c r="F1074" s="6">
        <v>100</v>
      </c>
      <c r="G1074" s="6" t="s">
        <v>593</v>
      </c>
      <c r="H1074" s="6" t="s">
        <v>594</v>
      </c>
      <c r="I1074" s="6" t="s">
        <v>103</v>
      </c>
      <c r="J1074" s="6" t="s">
        <v>20</v>
      </c>
      <c r="K1074" s="7">
        <v>33.71</v>
      </c>
    </row>
    <row r="1075" spans="1:11" s="4" customFormat="1" ht="10.199999999999999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7"/>
    </row>
    <row r="1076" spans="1:11" s="4" customFormat="1" ht="10.199999999999999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7"/>
    </row>
    <row r="1077" spans="1:11" s="4" customFormat="1" ht="20.399999999999999" x14ac:dyDescent="0.2">
      <c r="A1077" s="6" t="str">
        <f>"0011380100"</f>
        <v>0011380100</v>
      </c>
      <c r="B1077" s="6" t="str">
        <f>"044739"</f>
        <v>044739</v>
      </c>
      <c r="C1077" s="6" t="s">
        <v>591</v>
      </c>
      <c r="D1077" s="6" t="s">
        <v>603</v>
      </c>
      <c r="E1077" s="6" t="s">
        <v>135</v>
      </c>
      <c r="F1077" s="6">
        <v>100</v>
      </c>
      <c r="G1077" s="6" t="s">
        <v>593</v>
      </c>
      <c r="H1077" s="6" t="s">
        <v>594</v>
      </c>
      <c r="I1077" s="6" t="s">
        <v>601</v>
      </c>
      <c r="J1077" s="6" t="s">
        <v>17</v>
      </c>
      <c r="K1077" s="7">
        <v>102.19</v>
      </c>
    </row>
    <row r="1078" spans="1:11" s="4" customFormat="1" ht="10.199999999999999" x14ac:dyDescent="0.2">
      <c r="A1078" s="6" t="str">
        <f>"0011380100"</f>
        <v>0011380100</v>
      </c>
      <c r="B1078" s="6" t="str">
        <f>"190894"</f>
        <v>190894</v>
      </c>
      <c r="C1078" s="6" t="s">
        <v>602</v>
      </c>
      <c r="D1078" s="6" t="s">
        <v>603</v>
      </c>
      <c r="E1078" s="6" t="s">
        <v>135</v>
      </c>
      <c r="F1078" s="6">
        <v>100</v>
      </c>
      <c r="G1078" s="6" t="s">
        <v>593</v>
      </c>
      <c r="H1078" s="6" t="s">
        <v>594</v>
      </c>
      <c r="I1078" s="6" t="s">
        <v>37</v>
      </c>
      <c r="J1078" s="6" t="s">
        <v>20</v>
      </c>
      <c r="K1078" s="7">
        <v>61.32</v>
      </c>
    </row>
    <row r="1079" spans="1:11" s="4" customFormat="1" ht="10.199999999999999" x14ac:dyDescent="0.2">
      <c r="A1079" s="6" t="str">
        <f>"0011380100"</f>
        <v>0011380100</v>
      </c>
      <c r="B1079" s="6" t="str">
        <f>"528214"</f>
        <v>528214</v>
      </c>
      <c r="C1079" s="6" t="s">
        <v>595</v>
      </c>
      <c r="D1079" s="6" t="s">
        <v>603</v>
      </c>
      <c r="E1079" s="6" t="s">
        <v>135</v>
      </c>
      <c r="F1079" s="6">
        <v>100</v>
      </c>
      <c r="G1079" s="6" t="s">
        <v>593</v>
      </c>
      <c r="H1079" s="6" t="s">
        <v>594</v>
      </c>
      <c r="I1079" s="6" t="s">
        <v>103</v>
      </c>
      <c r="J1079" s="6" t="s">
        <v>20</v>
      </c>
      <c r="K1079" s="7">
        <v>61.32</v>
      </c>
    </row>
    <row r="1080" spans="1:11" s="4" customFormat="1" ht="10.199999999999999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7"/>
    </row>
    <row r="1081" spans="1:11" s="4" customFormat="1" ht="10.199999999999999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7"/>
    </row>
    <row r="1082" spans="1:11" s="4" customFormat="1" ht="20.399999999999999" x14ac:dyDescent="0.2">
      <c r="A1082" s="6" t="str">
        <f>"0011390100"</f>
        <v>0011390100</v>
      </c>
      <c r="B1082" s="6" t="str">
        <f>"044728"</f>
        <v>044728</v>
      </c>
      <c r="C1082" s="6" t="s">
        <v>591</v>
      </c>
      <c r="D1082" s="6" t="s">
        <v>604</v>
      </c>
      <c r="E1082" s="6" t="s">
        <v>135</v>
      </c>
      <c r="F1082" s="6">
        <v>100</v>
      </c>
      <c r="G1082" s="6" t="s">
        <v>593</v>
      </c>
      <c r="H1082" s="6" t="s">
        <v>594</v>
      </c>
      <c r="I1082" s="6" t="s">
        <v>601</v>
      </c>
      <c r="J1082" s="6" t="s">
        <v>17</v>
      </c>
      <c r="K1082" s="7">
        <v>205.09</v>
      </c>
    </row>
    <row r="1083" spans="1:11" s="4" customFormat="1" ht="10.199999999999999" x14ac:dyDescent="0.2">
      <c r="A1083" s="6" t="str">
        <f>"0011390100"</f>
        <v>0011390100</v>
      </c>
      <c r="B1083" s="6" t="str">
        <f>"570464"</f>
        <v>570464</v>
      </c>
      <c r="C1083" s="6" t="s">
        <v>595</v>
      </c>
      <c r="D1083" s="6" t="s">
        <v>604</v>
      </c>
      <c r="E1083" s="6" t="s">
        <v>135</v>
      </c>
      <c r="F1083" s="6">
        <v>100</v>
      </c>
      <c r="G1083" s="6" t="s">
        <v>593</v>
      </c>
      <c r="H1083" s="6" t="s">
        <v>594</v>
      </c>
      <c r="I1083" s="6" t="s">
        <v>103</v>
      </c>
      <c r="J1083" s="6" t="s">
        <v>20</v>
      </c>
      <c r="K1083" s="7">
        <v>123.06</v>
      </c>
    </row>
    <row r="1084" spans="1:11" s="4" customFormat="1" ht="10.199999999999999" x14ac:dyDescent="0.2">
      <c r="A1084" s="6" t="str">
        <f>"0011390100"</f>
        <v>0011390100</v>
      </c>
      <c r="B1084" s="6" t="str">
        <f>"593837"</f>
        <v>593837</v>
      </c>
      <c r="C1084" s="6" t="s">
        <v>602</v>
      </c>
      <c r="D1084" s="6" t="s">
        <v>604</v>
      </c>
      <c r="E1084" s="6" t="s">
        <v>135</v>
      </c>
      <c r="F1084" s="6">
        <v>100</v>
      </c>
      <c r="G1084" s="6" t="s">
        <v>593</v>
      </c>
      <c r="H1084" s="6" t="s">
        <v>594</v>
      </c>
      <c r="I1084" s="6" t="s">
        <v>37</v>
      </c>
      <c r="J1084" s="6" t="s">
        <v>20</v>
      </c>
      <c r="K1084" s="7">
        <v>123.06</v>
      </c>
    </row>
    <row r="1085" spans="1:11" s="4" customFormat="1" ht="10.199999999999999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7"/>
    </row>
    <row r="1086" spans="1:11" s="4" customFormat="1" ht="10.199999999999999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7"/>
    </row>
    <row r="1087" spans="1:11" s="4" customFormat="1" ht="20.399999999999999" x14ac:dyDescent="0.2">
      <c r="A1087" s="6" t="str">
        <f>"0011400100"</f>
        <v>0011400100</v>
      </c>
      <c r="B1087" s="6" t="str">
        <f>"044752"</f>
        <v>044752</v>
      </c>
      <c r="C1087" s="6" t="s">
        <v>591</v>
      </c>
      <c r="D1087" s="6" t="s">
        <v>605</v>
      </c>
      <c r="E1087" s="6" t="s">
        <v>135</v>
      </c>
      <c r="F1087" s="6">
        <v>100</v>
      </c>
      <c r="G1087" s="6" t="s">
        <v>593</v>
      </c>
      <c r="H1087" s="6" t="s">
        <v>594</v>
      </c>
      <c r="I1087" s="6" t="s">
        <v>601</v>
      </c>
      <c r="J1087" s="6" t="s">
        <v>17</v>
      </c>
      <c r="K1087" s="7">
        <v>404.24</v>
      </c>
    </row>
    <row r="1088" spans="1:11" s="4" customFormat="1" ht="10.199999999999999" x14ac:dyDescent="0.2">
      <c r="A1088" s="6" t="str">
        <f>"0011400100"</f>
        <v>0011400100</v>
      </c>
      <c r="B1088" s="6" t="str">
        <f>"182862"</f>
        <v>182862</v>
      </c>
      <c r="C1088" s="6" t="s">
        <v>602</v>
      </c>
      <c r="D1088" s="6" t="s">
        <v>605</v>
      </c>
      <c r="E1088" s="6" t="s">
        <v>135</v>
      </c>
      <c r="F1088" s="6">
        <v>100</v>
      </c>
      <c r="G1088" s="6" t="s">
        <v>593</v>
      </c>
      <c r="H1088" s="6" t="s">
        <v>594</v>
      </c>
      <c r="I1088" s="6" t="s">
        <v>37</v>
      </c>
      <c r="J1088" s="6" t="s">
        <v>20</v>
      </c>
      <c r="K1088" s="7">
        <v>242.54</v>
      </c>
    </row>
    <row r="1089" spans="1:11" s="4" customFormat="1" ht="10.199999999999999" x14ac:dyDescent="0.2">
      <c r="A1089" s="6" t="str">
        <f>"0011400100"</f>
        <v>0011400100</v>
      </c>
      <c r="B1089" s="6" t="str">
        <f>"545090"</f>
        <v>545090</v>
      </c>
      <c r="C1089" s="6" t="s">
        <v>595</v>
      </c>
      <c r="D1089" s="6" t="s">
        <v>605</v>
      </c>
      <c r="E1089" s="6" t="s">
        <v>135</v>
      </c>
      <c r="F1089" s="6">
        <v>100</v>
      </c>
      <c r="G1089" s="6" t="s">
        <v>593</v>
      </c>
      <c r="H1089" s="6" t="s">
        <v>594</v>
      </c>
      <c r="I1089" s="6" t="s">
        <v>103</v>
      </c>
      <c r="J1089" s="6" t="s">
        <v>20</v>
      </c>
      <c r="K1089" s="7">
        <v>242.54</v>
      </c>
    </row>
    <row r="1090" spans="1:11" s="4" customFormat="1" ht="10.199999999999999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7"/>
    </row>
    <row r="1091" spans="1:11" s="4" customFormat="1" ht="10.199999999999999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7"/>
    </row>
    <row r="1092" spans="1:11" s="4" customFormat="1" ht="20.399999999999999" x14ac:dyDescent="0.2">
      <c r="A1092" s="6" t="str">
        <f>"0011410100"</f>
        <v>0011410100</v>
      </c>
      <c r="B1092" s="6" t="str">
        <f>"062410"</f>
        <v>062410</v>
      </c>
      <c r="C1092" s="6" t="s">
        <v>591</v>
      </c>
      <c r="D1092" s="6" t="s">
        <v>606</v>
      </c>
      <c r="E1092" s="6" t="s">
        <v>135</v>
      </c>
      <c r="F1092" s="6">
        <v>100</v>
      </c>
      <c r="G1092" s="6" t="s">
        <v>593</v>
      </c>
      <c r="H1092" s="6" t="s">
        <v>594</v>
      </c>
      <c r="I1092" s="6" t="s">
        <v>601</v>
      </c>
      <c r="J1092" s="6" t="s">
        <v>17</v>
      </c>
      <c r="K1092" s="7">
        <v>382</v>
      </c>
    </row>
    <row r="1093" spans="1:11" s="4" customFormat="1" ht="10.199999999999999" x14ac:dyDescent="0.2">
      <c r="A1093" s="6" t="str">
        <f>"0011410100"</f>
        <v>0011410100</v>
      </c>
      <c r="B1093" s="6" t="str">
        <f>"513096"</f>
        <v>513096</v>
      </c>
      <c r="C1093" s="6" t="s">
        <v>595</v>
      </c>
      <c r="D1093" s="6" t="s">
        <v>606</v>
      </c>
      <c r="E1093" s="6" t="s">
        <v>135</v>
      </c>
      <c r="F1093" s="6">
        <v>100</v>
      </c>
      <c r="G1093" s="6" t="s">
        <v>593</v>
      </c>
      <c r="H1093" s="6" t="s">
        <v>594</v>
      </c>
      <c r="I1093" s="6" t="s">
        <v>103</v>
      </c>
      <c r="J1093" s="6" t="s">
        <v>20</v>
      </c>
      <c r="K1093" s="7">
        <v>363.82</v>
      </c>
    </row>
    <row r="1094" spans="1:11" s="4" customFormat="1" ht="10.199999999999999" x14ac:dyDescent="0.2">
      <c r="A1094" s="6" t="str">
        <f>"0011410100"</f>
        <v>0011410100</v>
      </c>
      <c r="B1094" s="6" t="str">
        <f>"522950"</f>
        <v>522950</v>
      </c>
      <c r="C1094" s="6" t="s">
        <v>602</v>
      </c>
      <c r="D1094" s="6" t="s">
        <v>606</v>
      </c>
      <c r="E1094" s="6" t="s">
        <v>135</v>
      </c>
      <c r="F1094" s="6">
        <v>100</v>
      </c>
      <c r="G1094" s="6" t="s">
        <v>593</v>
      </c>
      <c r="H1094" s="6" t="s">
        <v>594</v>
      </c>
      <c r="I1094" s="6" t="s">
        <v>37</v>
      </c>
      <c r="J1094" s="6" t="s">
        <v>20</v>
      </c>
      <c r="K1094" s="7">
        <v>363.82</v>
      </c>
    </row>
    <row r="1095" spans="1:11" s="4" customFormat="1" ht="10.199999999999999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7"/>
    </row>
    <row r="1096" spans="1:11" s="4" customFormat="1" ht="10.199999999999999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7"/>
    </row>
    <row r="1097" spans="1:11" s="4" customFormat="1" ht="20.399999999999999" x14ac:dyDescent="0.2">
      <c r="A1097" s="6" t="str">
        <f>"0011980100"</f>
        <v>0011980100</v>
      </c>
      <c r="B1097" s="6" t="str">
        <f>"515942"</f>
        <v>515942</v>
      </c>
      <c r="C1097" s="6" t="s">
        <v>591</v>
      </c>
      <c r="D1097" s="6" t="s">
        <v>607</v>
      </c>
      <c r="E1097" s="6" t="s">
        <v>135</v>
      </c>
      <c r="F1097" s="6">
        <v>100</v>
      </c>
      <c r="G1097" s="6" t="s">
        <v>593</v>
      </c>
      <c r="H1097" s="6" t="s">
        <v>594</v>
      </c>
      <c r="I1097" s="6" t="s">
        <v>121</v>
      </c>
      <c r="J1097" s="6" t="s">
        <v>17</v>
      </c>
      <c r="K1097" s="7">
        <v>304.98</v>
      </c>
    </row>
    <row r="1098" spans="1:11" s="4" customFormat="1" ht="10.199999999999999" x14ac:dyDescent="0.2">
      <c r="A1098" s="6" t="str">
        <f>"0011980100"</f>
        <v>0011980100</v>
      </c>
      <c r="B1098" s="6" t="str">
        <f>"420343"</f>
        <v>420343</v>
      </c>
      <c r="C1098" s="6" t="s">
        <v>595</v>
      </c>
      <c r="D1098" s="6" t="s">
        <v>607</v>
      </c>
      <c r="E1098" s="6" t="s">
        <v>135</v>
      </c>
      <c r="F1098" s="6">
        <v>100</v>
      </c>
      <c r="G1098" s="6" t="s">
        <v>593</v>
      </c>
      <c r="H1098" s="6" t="s">
        <v>594</v>
      </c>
      <c r="I1098" s="6" t="s">
        <v>103</v>
      </c>
      <c r="J1098" s="6" t="s">
        <v>20</v>
      </c>
      <c r="K1098" s="7">
        <v>182.99</v>
      </c>
    </row>
    <row r="1099" spans="1:11" s="4" customFormat="1" ht="10.199999999999999" x14ac:dyDescent="0.2">
      <c r="A1099" s="6" t="str">
        <f>"0011980100"</f>
        <v>0011980100</v>
      </c>
      <c r="B1099" s="6" t="str">
        <f>"592842"</f>
        <v>592842</v>
      </c>
      <c r="C1099" s="6" t="s">
        <v>602</v>
      </c>
      <c r="D1099" s="6" t="s">
        <v>607</v>
      </c>
      <c r="E1099" s="6" t="s">
        <v>135</v>
      </c>
      <c r="F1099" s="6">
        <v>100</v>
      </c>
      <c r="G1099" s="6" t="s">
        <v>593</v>
      </c>
      <c r="H1099" s="6" t="s">
        <v>594</v>
      </c>
      <c r="I1099" s="6" t="s">
        <v>37</v>
      </c>
      <c r="J1099" s="6" t="s">
        <v>20</v>
      </c>
      <c r="K1099" s="7">
        <v>182.99</v>
      </c>
    </row>
    <row r="1100" spans="1:11" s="4" customFormat="1" ht="10.199999999999999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7"/>
    </row>
    <row r="1101" spans="1:11" s="4" customFormat="1" ht="10.199999999999999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7"/>
    </row>
    <row r="1102" spans="1:11" s="4" customFormat="1" ht="20.399999999999999" x14ac:dyDescent="0.2">
      <c r="A1102" s="6" t="str">
        <f>"0011990100"</f>
        <v>0011990100</v>
      </c>
      <c r="B1102" s="6" t="str">
        <f>"515477"</f>
        <v>515477</v>
      </c>
      <c r="C1102" s="6" t="s">
        <v>591</v>
      </c>
      <c r="D1102" s="6" t="s">
        <v>608</v>
      </c>
      <c r="E1102" s="6" t="s">
        <v>135</v>
      </c>
      <c r="F1102" s="6">
        <v>100</v>
      </c>
      <c r="G1102" s="6" t="s">
        <v>593</v>
      </c>
      <c r="H1102" s="6" t="s">
        <v>594</v>
      </c>
      <c r="I1102" s="6" t="s">
        <v>121</v>
      </c>
      <c r="J1102" s="6" t="s">
        <v>17</v>
      </c>
      <c r="K1102" s="7">
        <v>317.62</v>
      </c>
    </row>
    <row r="1103" spans="1:11" s="4" customFormat="1" ht="10.199999999999999" x14ac:dyDescent="0.2">
      <c r="A1103" s="6" t="str">
        <f>"0011990100"</f>
        <v>0011990100</v>
      </c>
      <c r="B1103" s="6" t="str">
        <f>"115866"</f>
        <v>115866</v>
      </c>
      <c r="C1103" s="6" t="s">
        <v>602</v>
      </c>
      <c r="D1103" s="6" t="s">
        <v>608</v>
      </c>
      <c r="E1103" s="6" t="s">
        <v>135</v>
      </c>
      <c r="F1103" s="6">
        <v>100</v>
      </c>
      <c r="G1103" s="6" t="s">
        <v>593</v>
      </c>
      <c r="H1103" s="6" t="s">
        <v>594</v>
      </c>
      <c r="I1103" s="6" t="s">
        <v>37</v>
      </c>
      <c r="J1103" s="6" t="s">
        <v>20</v>
      </c>
      <c r="K1103" s="7">
        <v>302.5</v>
      </c>
    </row>
    <row r="1104" spans="1:11" s="4" customFormat="1" ht="10.199999999999999" x14ac:dyDescent="0.2">
      <c r="A1104" s="6" t="str">
        <f>"0011990100"</f>
        <v>0011990100</v>
      </c>
      <c r="B1104" s="6" t="str">
        <f>"137754"</f>
        <v>137754</v>
      </c>
      <c r="C1104" s="6" t="s">
        <v>595</v>
      </c>
      <c r="D1104" s="6" t="s">
        <v>608</v>
      </c>
      <c r="E1104" s="6" t="s">
        <v>135</v>
      </c>
      <c r="F1104" s="6">
        <v>100</v>
      </c>
      <c r="G1104" s="6" t="s">
        <v>593</v>
      </c>
      <c r="H1104" s="6" t="s">
        <v>594</v>
      </c>
      <c r="I1104" s="6" t="s">
        <v>103</v>
      </c>
      <c r="J1104" s="6" t="s">
        <v>20</v>
      </c>
      <c r="K1104" s="7">
        <v>302.5</v>
      </c>
    </row>
    <row r="1105" spans="1:11" s="4" customFormat="1" ht="10.199999999999999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7"/>
    </row>
    <row r="1106" spans="1:11" s="4" customFormat="1" ht="10.199999999999999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7"/>
    </row>
    <row r="1107" spans="1:11" s="4" customFormat="1" ht="10.199999999999999" x14ac:dyDescent="0.2">
      <c r="A1107" s="6" t="str">
        <f>"0003520100"</f>
        <v>0003520100</v>
      </c>
      <c r="B1107" s="6" t="str">
        <f>"476192"</f>
        <v>476192</v>
      </c>
      <c r="C1107" s="6" t="s">
        <v>609</v>
      </c>
      <c r="D1107" s="6" t="s">
        <v>39</v>
      </c>
      <c r="E1107" s="6" t="s">
        <v>82</v>
      </c>
      <c r="F1107" s="6">
        <v>100</v>
      </c>
      <c r="G1107" s="6" t="s">
        <v>610</v>
      </c>
      <c r="H1107" s="6" t="s">
        <v>611</v>
      </c>
      <c r="I1107" s="6" t="s">
        <v>144</v>
      </c>
      <c r="J1107" s="6" t="s">
        <v>17</v>
      </c>
      <c r="K1107" s="7">
        <v>53.77</v>
      </c>
    </row>
    <row r="1108" spans="1:11" s="4" customFormat="1" ht="10.199999999999999" x14ac:dyDescent="0.2">
      <c r="A1108" s="6" t="str">
        <f>"0003520100"</f>
        <v>0003520100</v>
      </c>
      <c r="B1108" s="6" t="str">
        <f>"164818"</f>
        <v>164818</v>
      </c>
      <c r="C1108" s="6" t="s">
        <v>612</v>
      </c>
      <c r="D1108" s="6" t="s">
        <v>39</v>
      </c>
      <c r="E1108" s="6" t="s">
        <v>82</v>
      </c>
      <c r="F1108" s="6">
        <v>100</v>
      </c>
      <c r="G1108" s="6" t="s">
        <v>610</v>
      </c>
      <c r="H1108" s="6" t="s">
        <v>611</v>
      </c>
      <c r="I1108" s="6" t="s">
        <v>30</v>
      </c>
      <c r="J1108" s="6" t="s">
        <v>20</v>
      </c>
      <c r="K1108" s="7">
        <v>47.29</v>
      </c>
    </row>
    <row r="1109" spans="1:11" s="4" customFormat="1" ht="10.199999999999999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7"/>
    </row>
    <row r="1110" spans="1:11" s="4" customFormat="1" ht="10.199999999999999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7"/>
    </row>
    <row r="1111" spans="1:11" s="4" customFormat="1" ht="10.199999999999999" x14ac:dyDescent="0.2">
      <c r="A1111" s="6" t="str">
        <f>"0003530100"</f>
        <v>0003530100</v>
      </c>
      <c r="B1111" s="6" t="str">
        <f>"534024"</f>
        <v>534024</v>
      </c>
      <c r="C1111" s="6" t="s">
        <v>609</v>
      </c>
      <c r="D1111" s="6" t="s">
        <v>174</v>
      </c>
      <c r="E1111" s="6" t="s">
        <v>82</v>
      </c>
      <c r="F1111" s="6">
        <v>100</v>
      </c>
      <c r="G1111" s="6" t="s">
        <v>610</v>
      </c>
      <c r="H1111" s="6" t="s">
        <v>611</v>
      </c>
      <c r="I1111" s="6" t="s">
        <v>144</v>
      </c>
      <c r="J1111" s="6" t="s">
        <v>17</v>
      </c>
      <c r="K1111" s="7">
        <v>26.89</v>
      </c>
    </row>
    <row r="1112" spans="1:11" s="4" customFormat="1" ht="10.199999999999999" x14ac:dyDescent="0.2">
      <c r="A1112" s="6" t="str">
        <f>"0003530100"</f>
        <v>0003530100</v>
      </c>
      <c r="B1112" s="6" t="str">
        <f>"164807"</f>
        <v>164807</v>
      </c>
      <c r="C1112" s="6" t="s">
        <v>612</v>
      </c>
      <c r="D1112" s="6" t="s">
        <v>174</v>
      </c>
      <c r="E1112" s="6" t="s">
        <v>82</v>
      </c>
      <c r="F1112" s="6">
        <v>100</v>
      </c>
      <c r="G1112" s="6" t="s">
        <v>610</v>
      </c>
      <c r="H1112" s="6" t="s">
        <v>611</v>
      </c>
      <c r="I1112" s="6" t="s">
        <v>30</v>
      </c>
      <c r="J1112" s="6" t="s">
        <v>20</v>
      </c>
      <c r="K1112" s="7">
        <v>23.65</v>
      </c>
    </row>
    <row r="1113" spans="1:11" s="4" customFormat="1" ht="10.199999999999999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7"/>
    </row>
    <row r="1114" spans="1:11" s="4" customFormat="1" ht="10.199999999999999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7"/>
    </row>
    <row r="1115" spans="1:11" s="4" customFormat="1" ht="10.199999999999999" x14ac:dyDescent="0.2">
      <c r="A1115" s="6" t="str">
        <f>"0013330056"</f>
        <v>0013330056</v>
      </c>
      <c r="B1115" s="6" t="str">
        <f>"498980"</f>
        <v>498980</v>
      </c>
      <c r="C1115" s="6" t="s">
        <v>613</v>
      </c>
      <c r="D1115" s="6" t="s">
        <v>33</v>
      </c>
      <c r="E1115" s="6" t="s">
        <v>314</v>
      </c>
      <c r="F1115" s="6">
        <v>56</v>
      </c>
      <c r="G1115" s="6" t="s">
        <v>614</v>
      </c>
      <c r="H1115" s="6" t="s">
        <v>615</v>
      </c>
      <c r="I1115" s="6" t="s">
        <v>375</v>
      </c>
      <c r="J1115" s="6" t="s">
        <v>17</v>
      </c>
      <c r="K1115" s="7">
        <v>92.34</v>
      </c>
    </row>
    <row r="1116" spans="1:11" s="4" customFormat="1" ht="10.199999999999999" x14ac:dyDescent="0.2">
      <c r="A1116" s="6" t="str">
        <f>"0013330056"</f>
        <v>0013330056</v>
      </c>
      <c r="B1116" s="6" t="str">
        <f>"552841"</f>
        <v>552841</v>
      </c>
      <c r="C1116" s="6" t="s">
        <v>616</v>
      </c>
      <c r="D1116" s="6" t="s">
        <v>33</v>
      </c>
      <c r="E1116" s="6" t="s">
        <v>314</v>
      </c>
      <c r="F1116" s="6">
        <v>56</v>
      </c>
      <c r="G1116" s="6" t="s">
        <v>614</v>
      </c>
      <c r="H1116" s="6" t="s">
        <v>615</v>
      </c>
      <c r="I1116" s="6" t="s">
        <v>375</v>
      </c>
      <c r="J1116" s="6" t="s">
        <v>20</v>
      </c>
      <c r="K1116" s="7">
        <v>55.4</v>
      </c>
    </row>
    <row r="1117" spans="1:11" s="4" customFormat="1" ht="10.199999999999999" x14ac:dyDescent="0.2">
      <c r="A1117" s="6" t="str">
        <f>"0013330056"</f>
        <v>0013330056</v>
      </c>
      <c r="B1117" s="6" t="str">
        <f>"587720"</f>
        <v>587720</v>
      </c>
      <c r="C1117" s="6" t="s">
        <v>617</v>
      </c>
      <c r="D1117" s="6" t="s">
        <v>33</v>
      </c>
      <c r="E1117" s="6" t="s">
        <v>314</v>
      </c>
      <c r="F1117" s="6">
        <v>56</v>
      </c>
      <c r="G1117" s="6" t="s">
        <v>614</v>
      </c>
      <c r="H1117" s="6" t="s">
        <v>615</v>
      </c>
      <c r="I1117" s="6" t="s">
        <v>28</v>
      </c>
      <c r="J1117" s="6" t="s">
        <v>20</v>
      </c>
      <c r="K1117" s="7">
        <v>55.4</v>
      </c>
    </row>
    <row r="1118" spans="1:11" s="4" customFormat="1" ht="10.199999999999999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7"/>
    </row>
    <row r="1119" spans="1:11" s="4" customFormat="1" ht="10.199999999999999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7"/>
    </row>
    <row r="1120" spans="1:11" s="4" customFormat="1" ht="10.199999999999999" x14ac:dyDescent="0.2">
      <c r="A1120" s="6" t="str">
        <f>"0013330100"</f>
        <v>0013330100</v>
      </c>
      <c r="B1120" s="6" t="str">
        <f>"083246"</f>
        <v>083246</v>
      </c>
      <c r="C1120" s="6" t="s">
        <v>613</v>
      </c>
      <c r="D1120" s="6" t="s">
        <v>33</v>
      </c>
      <c r="E1120" s="6" t="s">
        <v>314</v>
      </c>
      <c r="F1120" s="6">
        <v>100</v>
      </c>
      <c r="G1120" s="6" t="s">
        <v>614</v>
      </c>
      <c r="H1120" s="6" t="s">
        <v>615</v>
      </c>
      <c r="I1120" s="6" t="s">
        <v>375</v>
      </c>
      <c r="J1120" s="6" t="s">
        <v>17</v>
      </c>
      <c r="K1120" s="7">
        <v>161.66999999999999</v>
      </c>
    </row>
    <row r="1121" spans="1:11" s="4" customFormat="1" ht="10.199999999999999" x14ac:dyDescent="0.2">
      <c r="A1121" s="6" t="str">
        <f>"0013330100"</f>
        <v>0013330100</v>
      </c>
      <c r="B1121" s="6" t="str">
        <f>"113912"</f>
        <v>113912</v>
      </c>
      <c r="C1121" s="6" t="s">
        <v>616</v>
      </c>
      <c r="D1121" s="6" t="s">
        <v>33</v>
      </c>
      <c r="E1121" s="6" t="s">
        <v>314</v>
      </c>
      <c r="F1121" s="6">
        <v>100</v>
      </c>
      <c r="G1121" s="6" t="s">
        <v>614</v>
      </c>
      <c r="H1121" s="6" t="s">
        <v>615</v>
      </c>
      <c r="I1121" s="6" t="s">
        <v>375</v>
      </c>
      <c r="J1121" s="6" t="s">
        <v>20</v>
      </c>
      <c r="K1121" s="7">
        <v>97</v>
      </c>
    </row>
    <row r="1122" spans="1:11" s="4" customFormat="1" ht="10.199999999999999" x14ac:dyDescent="0.2">
      <c r="A1122" s="6" t="str">
        <f>"0013330100"</f>
        <v>0013330100</v>
      </c>
      <c r="B1122" s="6" t="str">
        <f>"404428"</f>
        <v>404428</v>
      </c>
      <c r="C1122" s="6" t="s">
        <v>617</v>
      </c>
      <c r="D1122" s="6" t="s">
        <v>33</v>
      </c>
      <c r="E1122" s="6" t="s">
        <v>314</v>
      </c>
      <c r="F1122" s="6">
        <v>100</v>
      </c>
      <c r="G1122" s="6" t="s">
        <v>614</v>
      </c>
      <c r="H1122" s="6" t="s">
        <v>615</v>
      </c>
      <c r="I1122" s="6" t="s">
        <v>28</v>
      </c>
      <c r="J1122" s="6" t="s">
        <v>20</v>
      </c>
      <c r="K1122" s="7">
        <v>97</v>
      </c>
    </row>
    <row r="1123" spans="1:11" s="4" customFormat="1" ht="10.199999999999999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7"/>
    </row>
    <row r="1124" spans="1:11" s="4" customFormat="1" ht="10.199999999999999" x14ac:dyDescent="0.2">
      <c r="A1124" s="6" t="str">
        <f>"0013340100"</f>
        <v>0013340100</v>
      </c>
      <c r="B1124" s="6" t="str">
        <f>"083535"</f>
        <v>083535</v>
      </c>
      <c r="C1124" s="6" t="s">
        <v>613</v>
      </c>
      <c r="D1124" s="6" t="s">
        <v>192</v>
      </c>
      <c r="E1124" s="6" t="s">
        <v>314</v>
      </c>
      <c r="F1124" s="6">
        <v>100</v>
      </c>
      <c r="G1124" s="6" t="s">
        <v>614</v>
      </c>
      <c r="H1124" s="6" t="s">
        <v>615</v>
      </c>
      <c r="I1124" s="6" t="s">
        <v>375</v>
      </c>
      <c r="J1124" s="6" t="s">
        <v>17</v>
      </c>
      <c r="K1124" s="7">
        <v>194.64</v>
      </c>
    </row>
    <row r="1125" spans="1:11" s="4" customFormat="1" ht="10.199999999999999" x14ac:dyDescent="0.2">
      <c r="A1125" s="6" t="str">
        <f>"0013340100"</f>
        <v>0013340100</v>
      </c>
      <c r="B1125" s="6" t="str">
        <f>"068599"</f>
        <v>068599</v>
      </c>
      <c r="C1125" s="6" t="s">
        <v>617</v>
      </c>
      <c r="D1125" s="6" t="s">
        <v>192</v>
      </c>
      <c r="E1125" s="6" t="s">
        <v>314</v>
      </c>
      <c r="F1125" s="6">
        <v>100</v>
      </c>
      <c r="G1125" s="6" t="s">
        <v>614</v>
      </c>
      <c r="H1125" s="6" t="s">
        <v>615</v>
      </c>
      <c r="I1125" s="6" t="s">
        <v>28</v>
      </c>
      <c r="J1125" s="6" t="s">
        <v>20</v>
      </c>
      <c r="K1125" s="7">
        <v>116.78</v>
      </c>
    </row>
    <row r="1126" spans="1:11" s="4" customFormat="1" ht="10.199999999999999" x14ac:dyDescent="0.2">
      <c r="A1126" s="6" t="str">
        <f>"0013340100"</f>
        <v>0013340100</v>
      </c>
      <c r="B1126" s="6" t="str">
        <f>"372034"</f>
        <v>372034</v>
      </c>
      <c r="C1126" s="6" t="s">
        <v>616</v>
      </c>
      <c r="D1126" s="6" t="s">
        <v>192</v>
      </c>
      <c r="E1126" s="6" t="s">
        <v>314</v>
      </c>
      <c r="F1126" s="6">
        <v>100</v>
      </c>
      <c r="G1126" s="6" t="s">
        <v>614</v>
      </c>
      <c r="H1126" s="6" t="s">
        <v>615</v>
      </c>
      <c r="I1126" s="6" t="s">
        <v>375</v>
      </c>
      <c r="J1126" s="6" t="s">
        <v>20</v>
      </c>
      <c r="K1126" s="7">
        <v>116.78</v>
      </c>
    </row>
    <row r="1127" spans="1:11" s="4" customFormat="1" ht="10.199999999999999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7"/>
    </row>
    <row r="1128" spans="1:11" s="4" customFormat="1" ht="10.199999999999999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7"/>
    </row>
    <row r="1129" spans="1:11" s="4" customFormat="1" ht="10.199999999999999" x14ac:dyDescent="0.2">
      <c r="A1129" s="6" t="str">
        <f>"0013350056"</f>
        <v>0013350056</v>
      </c>
      <c r="B1129" s="6" t="str">
        <f>"499020"</f>
        <v>499020</v>
      </c>
      <c r="C1129" s="6" t="s">
        <v>613</v>
      </c>
      <c r="D1129" s="6" t="s">
        <v>239</v>
      </c>
      <c r="E1129" s="6" t="s">
        <v>314</v>
      </c>
      <c r="F1129" s="6">
        <v>56</v>
      </c>
      <c r="G1129" s="6" t="s">
        <v>614</v>
      </c>
      <c r="H1129" s="6" t="s">
        <v>615</v>
      </c>
      <c r="I1129" s="6" t="s">
        <v>375</v>
      </c>
      <c r="J1129" s="6" t="s">
        <v>17</v>
      </c>
      <c r="K1129" s="7">
        <v>147.38</v>
      </c>
    </row>
    <row r="1130" spans="1:11" s="4" customFormat="1" ht="10.199999999999999" x14ac:dyDescent="0.2">
      <c r="A1130" s="6" t="str">
        <f>"0013350056"</f>
        <v>0013350056</v>
      </c>
      <c r="B1130" s="6" t="str">
        <f>"145981"</f>
        <v>145981</v>
      </c>
      <c r="C1130" s="6" t="s">
        <v>617</v>
      </c>
      <c r="D1130" s="6" t="s">
        <v>239</v>
      </c>
      <c r="E1130" s="6" t="s">
        <v>314</v>
      </c>
      <c r="F1130" s="6">
        <v>56</v>
      </c>
      <c r="G1130" s="6" t="s">
        <v>614</v>
      </c>
      <c r="H1130" s="6" t="s">
        <v>615</v>
      </c>
      <c r="I1130" s="6" t="s">
        <v>28</v>
      </c>
      <c r="J1130" s="6" t="s">
        <v>20</v>
      </c>
      <c r="K1130" s="7">
        <v>88.43</v>
      </c>
    </row>
    <row r="1131" spans="1:11" s="4" customFormat="1" ht="10.199999999999999" x14ac:dyDescent="0.2">
      <c r="A1131" s="6" t="str">
        <f>"0013350056"</f>
        <v>0013350056</v>
      </c>
      <c r="B1131" s="6" t="str">
        <f>"486507"</f>
        <v>486507</v>
      </c>
      <c r="C1131" s="6" t="s">
        <v>616</v>
      </c>
      <c r="D1131" s="6" t="s">
        <v>239</v>
      </c>
      <c r="E1131" s="6" t="s">
        <v>314</v>
      </c>
      <c r="F1131" s="6">
        <v>56</v>
      </c>
      <c r="G1131" s="6" t="s">
        <v>614</v>
      </c>
      <c r="H1131" s="6" t="s">
        <v>615</v>
      </c>
      <c r="I1131" s="6" t="s">
        <v>375</v>
      </c>
      <c r="J1131" s="6" t="s">
        <v>20</v>
      </c>
      <c r="K1131" s="7">
        <v>88.43</v>
      </c>
    </row>
    <row r="1132" spans="1:11" s="4" customFormat="1" ht="10.199999999999999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7"/>
    </row>
    <row r="1133" spans="1:11" s="4" customFormat="1" ht="10.199999999999999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7"/>
    </row>
    <row r="1134" spans="1:11" s="4" customFormat="1" ht="10.199999999999999" x14ac:dyDescent="0.2">
      <c r="A1134" s="6" t="str">
        <f>"0013350100"</f>
        <v>0013350100</v>
      </c>
      <c r="B1134" s="6" t="str">
        <f>"119792"</f>
        <v>119792</v>
      </c>
      <c r="C1134" s="6" t="s">
        <v>613</v>
      </c>
      <c r="D1134" s="6" t="s">
        <v>239</v>
      </c>
      <c r="E1134" s="6" t="s">
        <v>314</v>
      </c>
      <c r="F1134" s="6">
        <v>100</v>
      </c>
      <c r="G1134" s="6" t="s">
        <v>614</v>
      </c>
      <c r="H1134" s="6" t="s">
        <v>615</v>
      </c>
      <c r="I1134" s="6" t="s">
        <v>375</v>
      </c>
      <c r="J1134" s="6" t="s">
        <v>17</v>
      </c>
      <c r="K1134" s="7">
        <v>258.02</v>
      </c>
    </row>
    <row r="1135" spans="1:11" s="4" customFormat="1" ht="10.199999999999999" x14ac:dyDescent="0.2">
      <c r="A1135" s="6" t="str">
        <f>"0013350100"</f>
        <v>0013350100</v>
      </c>
      <c r="B1135" s="6" t="str">
        <f>"078277"</f>
        <v>078277</v>
      </c>
      <c r="C1135" s="6" t="s">
        <v>617</v>
      </c>
      <c r="D1135" s="6" t="s">
        <v>239</v>
      </c>
      <c r="E1135" s="6" t="s">
        <v>314</v>
      </c>
      <c r="F1135" s="6">
        <v>100</v>
      </c>
      <c r="G1135" s="6" t="s">
        <v>614</v>
      </c>
      <c r="H1135" s="6" t="s">
        <v>615</v>
      </c>
      <c r="I1135" s="6" t="s">
        <v>28</v>
      </c>
      <c r="J1135" s="6" t="s">
        <v>20</v>
      </c>
      <c r="K1135" s="7">
        <v>154.81</v>
      </c>
    </row>
    <row r="1136" spans="1:11" s="4" customFormat="1" ht="10.199999999999999" x14ac:dyDescent="0.2">
      <c r="A1136" s="6" t="str">
        <f>"0013350100"</f>
        <v>0013350100</v>
      </c>
      <c r="B1136" s="6" t="str">
        <f>"550718"</f>
        <v>550718</v>
      </c>
      <c r="C1136" s="6" t="s">
        <v>616</v>
      </c>
      <c r="D1136" s="6" t="s">
        <v>239</v>
      </c>
      <c r="E1136" s="6" t="s">
        <v>314</v>
      </c>
      <c r="F1136" s="6">
        <v>100</v>
      </c>
      <c r="G1136" s="6" t="s">
        <v>614</v>
      </c>
      <c r="H1136" s="6" t="s">
        <v>615</v>
      </c>
      <c r="I1136" s="6" t="s">
        <v>375</v>
      </c>
      <c r="J1136" s="6" t="s">
        <v>20</v>
      </c>
      <c r="K1136" s="7">
        <v>154.81</v>
      </c>
    </row>
    <row r="1137" spans="1:11" s="4" customFormat="1" ht="10.199999999999999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7"/>
    </row>
    <row r="1138" spans="1:11" s="4" customFormat="1" ht="10.199999999999999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7"/>
    </row>
    <row r="1139" spans="1:11" s="4" customFormat="1" ht="10.199999999999999" x14ac:dyDescent="0.2">
      <c r="A1139" s="6" t="str">
        <f>"0004870100"</f>
        <v>0004870100</v>
      </c>
      <c r="B1139" s="6" t="str">
        <f>"030627"</f>
        <v>030627</v>
      </c>
      <c r="C1139" s="6" t="s">
        <v>618</v>
      </c>
      <c r="D1139" s="6" t="s">
        <v>230</v>
      </c>
      <c r="E1139" s="6" t="s">
        <v>82</v>
      </c>
      <c r="F1139" s="6">
        <v>100</v>
      </c>
      <c r="G1139" s="6" t="s">
        <v>619</v>
      </c>
      <c r="H1139" s="6" t="s">
        <v>620</v>
      </c>
      <c r="I1139" s="6" t="s">
        <v>63</v>
      </c>
      <c r="J1139" s="6" t="s">
        <v>17</v>
      </c>
      <c r="K1139" s="7">
        <v>50.43</v>
      </c>
    </row>
    <row r="1140" spans="1:11" s="4" customFormat="1" ht="10.199999999999999" x14ac:dyDescent="0.2">
      <c r="A1140" s="6" t="str">
        <f>"0004870100"</f>
        <v>0004870100</v>
      </c>
      <c r="B1140" s="6" t="str">
        <f>"010421"</f>
        <v>010421</v>
      </c>
      <c r="C1140" s="6" t="s">
        <v>621</v>
      </c>
      <c r="D1140" s="6" t="s">
        <v>230</v>
      </c>
      <c r="E1140" s="6" t="s">
        <v>82</v>
      </c>
      <c r="F1140" s="6">
        <v>100</v>
      </c>
      <c r="G1140" s="6" t="s">
        <v>619</v>
      </c>
      <c r="H1140" s="6" t="s">
        <v>620</v>
      </c>
      <c r="I1140" s="6" t="s">
        <v>144</v>
      </c>
      <c r="J1140" s="6" t="s">
        <v>20</v>
      </c>
      <c r="K1140" s="7">
        <v>50.33</v>
      </c>
    </row>
    <row r="1141" spans="1:11" s="4" customFormat="1" ht="10.199999999999999" x14ac:dyDescent="0.2">
      <c r="A1141" s="6" t="str">
        <f>"0004870100"</f>
        <v>0004870100</v>
      </c>
      <c r="B1141" s="6" t="str">
        <f>"063255"</f>
        <v>063255</v>
      </c>
      <c r="C1141" s="6" t="s">
        <v>622</v>
      </c>
      <c r="D1141" s="6" t="s">
        <v>230</v>
      </c>
      <c r="E1141" s="6" t="s">
        <v>82</v>
      </c>
      <c r="F1141" s="6">
        <v>100</v>
      </c>
      <c r="G1141" s="6" t="s">
        <v>619</v>
      </c>
      <c r="H1141" s="6" t="s">
        <v>620</v>
      </c>
      <c r="I1141" s="6" t="s">
        <v>623</v>
      </c>
      <c r="J1141" s="6" t="s">
        <v>20</v>
      </c>
      <c r="K1141" s="7">
        <v>50.33</v>
      </c>
    </row>
    <row r="1142" spans="1:11" s="4" customFormat="1" ht="10.199999999999999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7"/>
    </row>
    <row r="1143" spans="1:11" s="4" customFormat="1" ht="10.199999999999999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7"/>
    </row>
    <row r="1144" spans="1:11" s="4" customFormat="1" ht="10.199999999999999" x14ac:dyDescent="0.2">
      <c r="A1144" s="6" t="str">
        <f>"0007560100"</f>
        <v>0007560100</v>
      </c>
      <c r="B1144" s="6" t="str">
        <f>"030635"</f>
        <v>030635</v>
      </c>
      <c r="C1144" s="6" t="s">
        <v>618</v>
      </c>
      <c r="D1144" s="6" t="s">
        <v>491</v>
      </c>
      <c r="E1144" s="6" t="s">
        <v>82</v>
      </c>
      <c r="F1144" s="6">
        <v>100</v>
      </c>
      <c r="G1144" s="6" t="s">
        <v>619</v>
      </c>
      <c r="H1144" s="6" t="s">
        <v>620</v>
      </c>
      <c r="I1144" s="6" t="s">
        <v>63</v>
      </c>
      <c r="J1144" s="6" t="s">
        <v>17</v>
      </c>
      <c r="K1144" s="7">
        <v>13.69</v>
      </c>
    </row>
    <row r="1145" spans="1:11" s="4" customFormat="1" ht="10.199999999999999" x14ac:dyDescent="0.2">
      <c r="A1145" s="6" t="str">
        <f>"0007560100"</f>
        <v>0007560100</v>
      </c>
      <c r="B1145" s="6" t="str">
        <f>"065565"</f>
        <v>065565</v>
      </c>
      <c r="C1145" s="6" t="s">
        <v>621</v>
      </c>
      <c r="D1145" s="6" t="s">
        <v>491</v>
      </c>
      <c r="E1145" s="6" t="s">
        <v>82</v>
      </c>
      <c r="F1145" s="6">
        <v>100</v>
      </c>
      <c r="G1145" s="6" t="s">
        <v>619</v>
      </c>
      <c r="H1145" s="6" t="s">
        <v>620</v>
      </c>
      <c r="I1145" s="6" t="s">
        <v>144</v>
      </c>
      <c r="J1145" s="6" t="s">
        <v>20</v>
      </c>
      <c r="K1145" s="7">
        <v>13.66</v>
      </c>
    </row>
    <row r="1146" spans="1:11" s="4" customFormat="1" ht="10.199999999999999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7"/>
    </row>
    <row r="1147" spans="1:11" s="4" customFormat="1" ht="10.199999999999999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7"/>
    </row>
    <row r="1148" spans="1:11" s="4" customFormat="1" ht="10.199999999999999" x14ac:dyDescent="0.2">
      <c r="A1148" s="6" t="str">
        <f t="shared" ref="A1148:A1153" si="28">"0006320056"</f>
        <v>0006320056</v>
      </c>
      <c r="B1148" s="6" t="str">
        <f>"129098"</f>
        <v>129098</v>
      </c>
      <c r="C1148" s="6" t="s">
        <v>624</v>
      </c>
      <c r="D1148" s="6" t="s">
        <v>625</v>
      </c>
      <c r="E1148" s="6" t="s">
        <v>382</v>
      </c>
      <c r="F1148" s="6">
        <v>56</v>
      </c>
      <c r="G1148" s="6" t="s">
        <v>626</v>
      </c>
      <c r="H1148" s="6" t="s">
        <v>627</v>
      </c>
      <c r="I1148" s="6" t="s">
        <v>628</v>
      </c>
      <c r="J1148" s="6" t="s">
        <v>17</v>
      </c>
      <c r="K1148" s="7">
        <v>132.53</v>
      </c>
    </row>
    <row r="1149" spans="1:11" s="4" customFormat="1" ht="10.199999999999999" x14ac:dyDescent="0.2">
      <c r="A1149" s="6" t="str">
        <f t="shared" si="28"/>
        <v>0006320056</v>
      </c>
      <c r="B1149" s="6" t="str">
        <f>"087447"</f>
        <v>087447</v>
      </c>
      <c r="C1149" s="6" t="s">
        <v>629</v>
      </c>
      <c r="D1149" s="6" t="s">
        <v>625</v>
      </c>
      <c r="E1149" s="6" t="s">
        <v>82</v>
      </c>
      <c r="F1149" s="6">
        <v>56</v>
      </c>
      <c r="G1149" s="6" t="s">
        <v>626</v>
      </c>
      <c r="H1149" s="6" t="s">
        <v>627</v>
      </c>
      <c r="I1149" s="6" t="s">
        <v>409</v>
      </c>
      <c r="J1149" s="6" t="s">
        <v>20</v>
      </c>
      <c r="K1149" s="7">
        <v>88.58</v>
      </c>
    </row>
    <row r="1150" spans="1:11" s="4" customFormat="1" ht="10.199999999999999" x14ac:dyDescent="0.2">
      <c r="A1150" s="6" t="str">
        <f t="shared" si="28"/>
        <v>0006320056</v>
      </c>
      <c r="B1150" s="6" t="str">
        <f>"108942"</f>
        <v>108942</v>
      </c>
      <c r="C1150" s="6" t="s">
        <v>630</v>
      </c>
      <c r="D1150" s="6" t="s">
        <v>625</v>
      </c>
      <c r="E1150" s="6" t="s">
        <v>82</v>
      </c>
      <c r="F1150" s="6">
        <v>56</v>
      </c>
      <c r="G1150" s="6" t="s">
        <v>626</v>
      </c>
      <c r="H1150" s="6" t="s">
        <v>627</v>
      </c>
      <c r="I1150" s="6" t="s">
        <v>19</v>
      </c>
      <c r="J1150" s="6" t="s">
        <v>20</v>
      </c>
      <c r="K1150" s="7">
        <v>88.58</v>
      </c>
    </row>
    <row r="1151" spans="1:11" s="4" customFormat="1" ht="10.199999999999999" x14ac:dyDescent="0.2">
      <c r="A1151" s="6" t="str">
        <f t="shared" si="28"/>
        <v>0006320056</v>
      </c>
      <c r="B1151" s="6" t="str">
        <f>"114963"</f>
        <v>114963</v>
      </c>
      <c r="C1151" s="6" t="s">
        <v>631</v>
      </c>
      <c r="D1151" s="6" t="s">
        <v>625</v>
      </c>
      <c r="E1151" s="6" t="s">
        <v>82</v>
      </c>
      <c r="F1151" s="6">
        <v>56</v>
      </c>
      <c r="G1151" s="6" t="s">
        <v>626</v>
      </c>
      <c r="H1151" s="6" t="s">
        <v>627</v>
      </c>
      <c r="I1151" s="6" t="s">
        <v>103</v>
      </c>
      <c r="J1151" s="6" t="s">
        <v>20</v>
      </c>
      <c r="K1151" s="7">
        <v>88.58</v>
      </c>
    </row>
    <row r="1152" spans="1:11" s="4" customFormat="1" ht="10.199999999999999" x14ac:dyDescent="0.2">
      <c r="A1152" s="6" t="str">
        <f t="shared" si="28"/>
        <v>0006320056</v>
      </c>
      <c r="B1152" s="6" t="str">
        <f>"182780"</f>
        <v>182780</v>
      </c>
      <c r="C1152" s="6" t="s">
        <v>632</v>
      </c>
      <c r="D1152" s="6" t="s">
        <v>625</v>
      </c>
      <c r="E1152" s="6" t="s">
        <v>13</v>
      </c>
      <c r="F1152" s="6">
        <v>56</v>
      </c>
      <c r="G1152" s="6" t="s">
        <v>626</v>
      </c>
      <c r="H1152" s="6" t="s">
        <v>627</v>
      </c>
      <c r="I1152" s="6" t="s">
        <v>37</v>
      </c>
      <c r="J1152" s="6" t="s">
        <v>20</v>
      </c>
      <c r="K1152" s="7">
        <v>88.58</v>
      </c>
    </row>
    <row r="1153" spans="1:11" s="4" customFormat="1" ht="10.199999999999999" x14ac:dyDescent="0.2">
      <c r="A1153" s="6" t="str">
        <f t="shared" si="28"/>
        <v>0006320056</v>
      </c>
      <c r="B1153" s="6" t="str">
        <f>"524126"</f>
        <v>524126</v>
      </c>
      <c r="C1153" s="6" t="s">
        <v>633</v>
      </c>
      <c r="D1153" s="6" t="s">
        <v>625</v>
      </c>
      <c r="E1153" s="6" t="s">
        <v>13</v>
      </c>
      <c r="F1153" s="6">
        <v>56</v>
      </c>
      <c r="G1153" s="6" t="s">
        <v>626</v>
      </c>
      <c r="H1153" s="6" t="s">
        <v>627</v>
      </c>
      <c r="I1153" s="6" t="s">
        <v>90</v>
      </c>
      <c r="J1153" s="6" t="s">
        <v>20</v>
      </c>
      <c r="K1153" s="7">
        <v>88.58</v>
      </c>
    </row>
    <row r="1154" spans="1:11" s="4" customFormat="1" ht="10.199999999999999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7"/>
    </row>
    <row r="1155" spans="1:11" s="4" customFormat="1" ht="10.199999999999999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7"/>
    </row>
    <row r="1156" spans="1:11" s="4" customFormat="1" ht="10.199999999999999" x14ac:dyDescent="0.2">
      <c r="A1156" s="6" t="str">
        <f t="shared" ref="A1156:A1165" si="29">"0007010030"</f>
        <v>0007010030</v>
      </c>
      <c r="B1156" s="6" t="str">
        <f>"000284"</f>
        <v>000284</v>
      </c>
      <c r="C1156" s="6" t="s">
        <v>634</v>
      </c>
      <c r="D1156" s="6" t="s">
        <v>174</v>
      </c>
      <c r="E1156" s="6" t="s">
        <v>68</v>
      </c>
      <c r="F1156" s="6">
        <v>28</v>
      </c>
      <c r="G1156" s="6" t="s">
        <v>626</v>
      </c>
      <c r="H1156" s="6" t="s">
        <v>627</v>
      </c>
      <c r="I1156" s="6" t="s">
        <v>628</v>
      </c>
      <c r="J1156" s="6" t="s">
        <v>17</v>
      </c>
      <c r="K1156" s="7">
        <v>44.17</v>
      </c>
    </row>
    <row r="1157" spans="1:11" s="4" customFormat="1" ht="10.199999999999999" x14ac:dyDescent="0.2">
      <c r="A1157" s="6" t="str">
        <f t="shared" si="29"/>
        <v>0007010030</v>
      </c>
      <c r="B1157" s="6" t="str">
        <f>"128058"</f>
        <v>128058</v>
      </c>
      <c r="C1157" s="6" t="s">
        <v>624</v>
      </c>
      <c r="D1157" s="6" t="s">
        <v>174</v>
      </c>
      <c r="E1157" s="6" t="s">
        <v>382</v>
      </c>
      <c r="F1157" s="6">
        <v>28</v>
      </c>
      <c r="G1157" s="6" t="s">
        <v>626</v>
      </c>
      <c r="H1157" s="6" t="s">
        <v>627</v>
      </c>
      <c r="I1157" s="6" t="s">
        <v>628</v>
      </c>
      <c r="J1157" s="6" t="s">
        <v>17</v>
      </c>
      <c r="K1157" s="7">
        <v>44.17</v>
      </c>
    </row>
    <row r="1158" spans="1:11" s="4" customFormat="1" ht="10.199999999999999" x14ac:dyDescent="0.2">
      <c r="A1158" s="6" t="str">
        <f t="shared" si="29"/>
        <v>0007010030</v>
      </c>
      <c r="B1158" s="6" t="str">
        <f>"060781"</f>
        <v>060781</v>
      </c>
      <c r="C1158" s="6" t="s">
        <v>629</v>
      </c>
      <c r="D1158" s="6" t="s">
        <v>174</v>
      </c>
      <c r="E1158" s="6" t="s">
        <v>82</v>
      </c>
      <c r="F1158" s="6">
        <v>28</v>
      </c>
      <c r="G1158" s="6" t="s">
        <v>626</v>
      </c>
      <c r="H1158" s="6" t="s">
        <v>627</v>
      </c>
      <c r="I1158" s="6" t="s">
        <v>409</v>
      </c>
      <c r="J1158" s="6" t="s">
        <v>20</v>
      </c>
      <c r="K1158" s="7">
        <v>29.53</v>
      </c>
    </row>
    <row r="1159" spans="1:11" s="4" customFormat="1" ht="10.199999999999999" x14ac:dyDescent="0.2">
      <c r="A1159" s="6" t="str">
        <f t="shared" si="29"/>
        <v>0007010030</v>
      </c>
      <c r="B1159" s="6" t="str">
        <f>"108931"</f>
        <v>108931</v>
      </c>
      <c r="C1159" s="6" t="s">
        <v>630</v>
      </c>
      <c r="D1159" s="6" t="s">
        <v>174</v>
      </c>
      <c r="E1159" s="6" t="s">
        <v>82</v>
      </c>
      <c r="F1159" s="6">
        <v>28</v>
      </c>
      <c r="G1159" s="6" t="s">
        <v>626</v>
      </c>
      <c r="H1159" s="6" t="s">
        <v>627</v>
      </c>
      <c r="I1159" s="6" t="s">
        <v>19</v>
      </c>
      <c r="J1159" s="6" t="s">
        <v>20</v>
      </c>
      <c r="K1159" s="7">
        <v>29.53</v>
      </c>
    </row>
    <row r="1160" spans="1:11" s="4" customFormat="1" ht="10.199999999999999" x14ac:dyDescent="0.2">
      <c r="A1160" s="6" t="str">
        <f t="shared" si="29"/>
        <v>0007010030</v>
      </c>
      <c r="B1160" s="6" t="str">
        <f>"114952"</f>
        <v>114952</v>
      </c>
      <c r="C1160" s="6" t="s">
        <v>631</v>
      </c>
      <c r="D1160" s="6" t="s">
        <v>174</v>
      </c>
      <c r="E1160" s="6" t="s">
        <v>82</v>
      </c>
      <c r="F1160" s="6">
        <v>28</v>
      </c>
      <c r="G1160" s="6" t="s">
        <v>626</v>
      </c>
      <c r="H1160" s="6" t="s">
        <v>627</v>
      </c>
      <c r="I1160" s="6" t="s">
        <v>103</v>
      </c>
      <c r="J1160" s="6" t="s">
        <v>20</v>
      </c>
      <c r="K1160" s="7">
        <v>29.53</v>
      </c>
    </row>
    <row r="1161" spans="1:11" s="4" customFormat="1" ht="10.199999999999999" x14ac:dyDescent="0.2">
      <c r="A1161" s="6" t="str">
        <f t="shared" si="29"/>
        <v>0007010030</v>
      </c>
      <c r="B1161" s="6" t="str">
        <f>"114996"</f>
        <v>114996</v>
      </c>
      <c r="C1161" s="6" t="s">
        <v>631</v>
      </c>
      <c r="D1161" s="6" t="s">
        <v>174</v>
      </c>
      <c r="E1161" s="6" t="s">
        <v>68</v>
      </c>
      <c r="F1161" s="6">
        <v>28</v>
      </c>
      <c r="G1161" s="6" t="s">
        <v>626</v>
      </c>
      <c r="H1161" s="6" t="s">
        <v>627</v>
      </c>
      <c r="I1161" s="6" t="s">
        <v>103</v>
      </c>
      <c r="J1161" s="6" t="s">
        <v>20</v>
      </c>
      <c r="K1161" s="7">
        <v>29.53</v>
      </c>
    </row>
    <row r="1162" spans="1:11" s="4" customFormat="1" ht="10.199999999999999" x14ac:dyDescent="0.2">
      <c r="A1162" s="6" t="str">
        <f t="shared" si="29"/>
        <v>0007010030</v>
      </c>
      <c r="B1162" s="6" t="str">
        <f>"415923"</f>
        <v>415923</v>
      </c>
      <c r="C1162" s="6" t="s">
        <v>633</v>
      </c>
      <c r="D1162" s="6" t="s">
        <v>174</v>
      </c>
      <c r="E1162" s="6" t="s">
        <v>13</v>
      </c>
      <c r="F1162" s="6">
        <v>28</v>
      </c>
      <c r="G1162" s="6" t="s">
        <v>626</v>
      </c>
      <c r="H1162" s="6" t="s">
        <v>627</v>
      </c>
      <c r="I1162" s="6" t="s">
        <v>90</v>
      </c>
      <c r="J1162" s="6" t="s">
        <v>20</v>
      </c>
      <c r="K1162" s="7">
        <v>29.53</v>
      </c>
    </row>
    <row r="1163" spans="1:11" s="4" customFormat="1" ht="20.399999999999999" x14ac:dyDescent="0.2">
      <c r="A1163" s="6" t="str">
        <f t="shared" si="29"/>
        <v>0007010030</v>
      </c>
      <c r="B1163" s="6" t="str">
        <f>"417604"</f>
        <v>417604</v>
      </c>
      <c r="C1163" s="6" t="s">
        <v>635</v>
      </c>
      <c r="D1163" s="6" t="s">
        <v>174</v>
      </c>
      <c r="E1163" s="6" t="s">
        <v>68</v>
      </c>
      <c r="F1163" s="6">
        <v>28</v>
      </c>
      <c r="G1163" s="6" t="s">
        <v>626</v>
      </c>
      <c r="H1163" s="6" t="s">
        <v>627</v>
      </c>
      <c r="I1163" s="6" t="s">
        <v>67</v>
      </c>
      <c r="J1163" s="6" t="s">
        <v>20</v>
      </c>
      <c r="K1163" s="7">
        <v>29.53</v>
      </c>
    </row>
    <row r="1164" spans="1:11" s="4" customFormat="1" ht="10.199999999999999" x14ac:dyDescent="0.2">
      <c r="A1164" s="6" t="str">
        <f t="shared" si="29"/>
        <v>0007010030</v>
      </c>
      <c r="B1164" s="6" t="str">
        <f>"505977"</f>
        <v>505977</v>
      </c>
      <c r="C1164" s="6" t="s">
        <v>630</v>
      </c>
      <c r="D1164" s="6" t="s">
        <v>174</v>
      </c>
      <c r="E1164" s="6" t="s">
        <v>68</v>
      </c>
      <c r="F1164" s="6">
        <v>28</v>
      </c>
      <c r="G1164" s="6" t="s">
        <v>626</v>
      </c>
      <c r="H1164" s="6" t="s">
        <v>627</v>
      </c>
      <c r="I1164" s="6" t="s">
        <v>636</v>
      </c>
      <c r="J1164" s="6" t="s">
        <v>20</v>
      </c>
      <c r="K1164" s="7">
        <v>29.53</v>
      </c>
    </row>
    <row r="1165" spans="1:11" s="4" customFormat="1" ht="10.199999999999999" x14ac:dyDescent="0.2">
      <c r="A1165" s="6" t="str">
        <f t="shared" si="29"/>
        <v>0007010030</v>
      </c>
      <c r="B1165" s="6" t="str">
        <f>"517517"</f>
        <v>517517</v>
      </c>
      <c r="C1165" s="6" t="s">
        <v>632</v>
      </c>
      <c r="D1165" s="6" t="s">
        <v>174</v>
      </c>
      <c r="E1165" s="6" t="s">
        <v>13</v>
      </c>
      <c r="F1165" s="6">
        <v>28</v>
      </c>
      <c r="G1165" s="6" t="s">
        <v>626</v>
      </c>
      <c r="H1165" s="6" t="s">
        <v>627</v>
      </c>
      <c r="I1165" s="6" t="s">
        <v>37</v>
      </c>
      <c r="J1165" s="6" t="s">
        <v>20</v>
      </c>
      <c r="K1165" s="7">
        <v>29.53</v>
      </c>
    </row>
    <row r="1166" spans="1:11" s="4" customFormat="1" ht="10.199999999999999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7"/>
    </row>
    <row r="1167" spans="1:11" s="4" customFormat="1" ht="10.199999999999999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7"/>
    </row>
    <row r="1168" spans="1:11" s="4" customFormat="1" ht="10.199999999999999" x14ac:dyDescent="0.2">
      <c r="A1168" s="6" t="str">
        <f t="shared" ref="A1168:A1174" si="30">"0007020030"</f>
        <v>0007020030</v>
      </c>
      <c r="B1168" s="6" t="str">
        <f>"000250"</f>
        <v>000250</v>
      </c>
      <c r="C1168" s="6" t="s">
        <v>634</v>
      </c>
      <c r="D1168" s="6" t="s">
        <v>39</v>
      </c>
      <c r="E1168" s="6" t="s">
        <v>68</v>
      </c>
      <c r="F1168" s="6">
        <v>28</v>
      </c>
      <c r="G1168" s="6" t="s">
        <v>626</v>
      </c>
      <c r="H1168" s="6" t="s">
        <v>627</v>
      </c>
      <c r="I1168" s="6" t="s">
        <v>628</v>
      </c>
      <c r="J1168" s="6" t="s">
        <v>17</v>
      </c>
      <c r="K1168" s="7">
        <v>88.36</v>
      </c>
    </row>
    <row r="1169" spans="1:11" s="4" customFormat="1" ht="10.199999999999999" x14ac:dyDescent="0.2">
      <c r="A1169" s="6" t="str">
        <f t="shared" si="30"/>
        <v>0007020030</v>
      </c>
      <c r="B1169" s="6" t="str">
        <f>"145698"</f>
        <v>145698</v>
      </c>
      <c r="C1169" s="6" t="s">
        <v>624</v>
      </c>
      <c r="D1169" s="6" t="s">
        <v>39</v>
      </c>
      <c r="E1169" s="6" t="s">
        <v>382</v>
      </c>
      <c r="F1169" s="6">
        <v>28</v>
      </c>
      <c r="G1169" s="6" t="s">
        <v>626</v>
      </c>
      <c r="H1169" s="6" t="s">
        <v>627</v>
      </c>
      <c r="I1169" s="6" t="s">
        <v>628</v>
      </c>
      <c r="J1169" s="6" t="s">
        <v>17</v>
      </c>
      <c r="K1169" s="7">
        <v>88.36</v>
      </c>
    </row>
    <row r="1170" spans="1:11" s="4" customFormat="1" ht="10.199999999999999" x14ac:dyDescent="0.2">
      <c r="A1170" s="6" t="str">
        <f t="shared" si="30"/>
        <v>0007020030</v>
      </c>
      <c r="B1170" s="6" t="str">
        <f>"040045"</f>
        <v>040045</v>
      </c>
      <c r="C1170" s="6" t="s">
        <v>630</v>
      </c>
      <c r="D1170" s="6" t="s">
        <v>39</v>
      </c>
      <c r="E1170" s="6" t="s">
        <v>68</v>
      </c>
      <c r="F1170" s="6">
        <v>28</v>
      </c>
      <c r="G1170" s="6" t="s">
        <v>626</v>
      </c>
      <c r="H1170" s="6" t="s">
        <v>627</v>
      </c>
      <c r="I1170" s="6" t="s">
        <v>636</v>
      </c>
      <c r="J1170" s="6" t="s">
        <v>20</v>
      </c>
      <c r="K1170" s="7">
        <v>59.05</v>
      </c>
    </row>
    <row r="1171" spans="1:11" s="4" customFormat="1" ht="10.199999999999999" x14ac:dyDescent="0.2">
      <c r="A1171" s="6" t="str">
        <f t="shared" si="30"/>
        <v>0007020030</v>
      </c>
      <c r="B1171" s="6" t="str">
        <f>"108875"</f>
        <v>108875</v>
      </c>
      <c r="C1171" s="6" t="s">
        <v>630</v>
      </c>
      <c r="D1171" s="6" t="s">
        <v>39</v>
      </c>
      <c r="E1171" s="6" t="s">
        <v>82</v>
      </c>
      <c r="F1171" s="6">
        <v>28</v>
      </c>
      <c r="G1171" s="6" t="s">
        <v>626</v>
      </c>
      <c r="H1171" s="6" t="s">
        <v>627</v>
      </c>
      <c r="I1171" s="6" t="s">
        <v>19</v>
      </c>
      <c r="J1171" s="6" t="s">
        <v>20</v>
      </c>
      <c r="K1171" s="7">
        <v>59.05</v>
      </c>
    </row>
    <row r="1172" spans="1:11" s="4" customFormat="1" ht="10.199999999999999" x14ac:dyDescent="0.2">
      <c r="A1172" s="6" t="str">
        <f t="shared" si="30"/>
        <v>0007020030</v>
      </c>
      <c r="B1172" s="6" t="str">
        <f>"114974"</f>
        <v>114974</v>
      </c>
      <c r="C1172" s="6" t="s">
        <v>631</v>
      </c>
      <c r="D1172" s="6" t="s">
        <v>39</v>
      </c>
      <c r="E1172" s="6" t="s">
        <v>82</v>
      </c>
      <c r="F1172" s="6">
        <v>28</v>
      </c>
      <c r="G1172" s="6" t="s">
        <v>626</v>
      </c>
      <c r="H1172" s="6" t="s">
        <v>627</v>
      </c>
      <c r="I1172" s="6" t="s">
        <v>103</v>
      </c>
      <c r="J1172" s="6" t="s">
        <v>20</v>
      </c>
      <c r="K1172" s="7">
        <v>59.05</v>
      </c>
    </row>
    <row r="1173" spans="1:11" s="4" customFormat="1" ht="10.199999999999999" x14ac:dyDescent="0.2">
      <c r="A1173" s="6" t="str">
        <f t="shared" si="30"/>
        <v>0007020030</v>
      </c>
      <c r="B1173" s="6" t="str">
        <f>"115007"</f>
        <v>115007</v>
      </c>
      <c r="C1173" s="6" t="s">
        <v>631</v>
      </c>
      <c r="D1173" s="6" t="s">
        <v>39</v>
      </c>
      <c r="E1173" s="6" t="s">
        <v>68</v>
      </c>
      <c r="F1173" s="6">
        <v>28</v>
      </c>
      <c r="G1173" s="6" t="s">
        <v>626</v>
      </c>
      <c r="H1173" s="6" t="s">
        <v>627</v>
      </c>
      <c r="I1173" s="6" t="s">
        <v>103</v>
      </c>
      <c r="J1173" s="6" t="s">
        <v>20</v>
      </c>
      <c r="K1173" s="7">
        <v>59.05</v>
      </c>
    </row>
    <row r="1174" spans="1:11" s="4" customFormat="1" ht="10.199999999999999" x14ac:dyDescent="0.2">
      <c r="A1174" s="6" t="str">
        <f t="shared" si="30"/>
        <v>0007020030</v>
      </c>
      <c r="B1174" s="6" t="str">
        <f>"429715"</f>
        <v>429715</v>
      </c>
      <c r="C1174" s="6" t="s">
        <v>633</v>
      </c>
      <c r="D1174" s="6" t="s">
        <v>39</v>
      </c>
      <c r="E1174" s="6" t="s">
        <v>13</v>
      </c>
      <c r="F1174" s="6">
        <v>28</v>
      </c>
      <c r="G1174" s="6" t="s">
        <v>626</v>
      </c>
      <c r="H1174" s="6" t="s">
        <v>627</v>
      </c>
      <c r="I1174" s="6" t="s">
        <v>90</v>
      </c>
      <c r="J1174" s="6" t="s">
        <v>20</v>
      </c>
      <c r="K1174" s="7">
        <v>59.05</v>
      </c>
    </row>
    <row r="1175" spans="1:11" s="4" customFormat="1" ht="10.199999999999999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7"/>
    </row>
    <row r="1176" spans="1:11" s="4" customFormat="1" ht="10.199999999999999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7"/>
    </row>
    <row r="1177" spans="1:11" s="4" customFormat="1" ht="10.199999999999999" x14ac:dyDescent="0.2">
      <c r="A1177" s="6" t="str">
        <f t="shared" ref="A1177:A1183" si="31">"0007020056"</f>
        <v>0007020056</v>
      </c>
      <c r="B1177" s="6" t="str">
        <f>"129106"</f>
        <v>129106</v>
      </c>
      <c r="C1177" s="6" t="s">
        <v>624</v>
      </c>
      <c r="D1177" s="6" t="s">
        <v>39</v>
      </c>
      <c r="E1177" s="6" t="s">
        <v>382</v>
      </c>
      <c r="F1177" s="6">
        <v>56</v>
      </c>
      <c r="G1177" s="6" t="s">
        <v>626</v>
      </c>
      <c r="H1177" s="6" t="s">
        <v>627</v>
      </c>
      <c r="I1177" s="6" t="s">
        <v>628</v>
      </c>
      <c r="J1177" s="6" t="s">
        <v>17</v>
      </c>
      <c r="K1177" s="7">
        <v>176.7</v>
      </c>
    </row>
    <row r="1178" spans="1:11" s="4" customFormat="1" ht="10.199999999999999" x14ac:dyDescent="0.2">
      <c r="A1178" s="6" t="str">
        <f t="shared" si="31"/>
        <v>0007020056</v>
      </c>
      <c r="B1178" s="6" t="str">
        <f>"108953"</f>
        <v>108953</v>
      </c>
      <c r="C1178" s="6" t="s">
        <v>630</v>
      </c>
      <c r="D1178" s="6" t="s">
        <v>39</v>
      </c>
      <c r="E1178" s="6" t="s">
        <v>82</v>
      </c>
      <c r="F1178" s="6">
        <v>56</v>
      </c>
      <c r="G1178" s="6" t="s">
        <v>626</v>
      </c>
      <c r="H1178" s="6" t="s">
        <v>627</v>
      </c>
      <c r="I1178" s="6" t="s">
        <v>19</v>
      </c>
      <c r="J1178" s="6" t="s">
        <v>20</v>
      </c>
      <c r="K1178" s="7">
        <v>115.04</v>
      </c>
    </row>
    <row r="1179" spans="1:11" s="4" customFormat="1" ht="10.199999999999999" x14ac:dyDescent="0.2">
      <c r="A1179" s="6" t="str">
        <f t="shared" si="31"/>
        <v>0007020056</v>
      </c>
      <c r="B1179" s="6" t="str">
        <f>"114985"</f>
        <v>114985</v>
      </c>
      <c r="C1179" s="6" t="s">
        <v>631</v>
      </c>
      <c r="D1179" s="6" t="s">
        <v>39</v>
      </c>
      <c r="E1179" s="6" t="s">
        <v>82</v>
      </c>
      <c r="F1179" s="6">
        <v>56</v>
      </c>
      <c r="G1179" s="6" t="s">
        <v>626</v>
      </c>
      <c r="H1179" s="6" t="s">
        <v>627</v>
      </c>
      <c r="I1179" s="6" t="s">
        <v>103</v>
      </c>
      <c r="J1179" s="6" t="s">
        <v>20</v>
      </c>
      <c r="K1179" s="7">
        <v>115.04</v>
      </c>
    </row>
    <row r="1180" spans="1:11" s="4" customFormat="1" ht="10.199999999999999" x14ac:dyDescent="0.2">
      <c r="A1180" s="6" t="str">
        <f t="shared" si="31"/>
        <v>0007020056</v>
      </c>
      <c r="B1180" s="6" t="str">
        <f>"142835"</f>
        <v>142835</v>
      </c>
      <c r="C1180" s="6" t="s">
        <v>632</v>
      </c>
      <c r="D1180" s="6" t="s">
        <v>39</v>
      </c>
      <c r="E1180" s="6" t="s">
        <v>13</v>
      </c>
      <c r="F1180" s="6">
        <v>56</v>
      </c>
      <c r="G1180" s="6" t="s">
        <v>626</v>
      </c>
      <c r="H1180" s="6" t="s">
        <v>627</v>
      </c>
      <c r="I1180" s="6" t="s">
        <v>37</v>
      </c>
      <c r="J1180" s="6" t="s">
        <v>20</v>
      </c>
      <c r="K1180" s="7">
        <v>115.04</v>
      </c>
    </row>
    <row r="1181" spans="1:11" s="4" customFormat="1" ht="20.399999999999999" x14ac:dyDescent="0.2">
      <c r="A1181" s="6" t="str">
        <f t="shared" si="31"/>
        <v>0007020056</v>
      </c>
      <c r="B1181" s="6" t="str">
        <f>"195957"</f>
        <v>195957</v>
      </c>
      <c r="C1181" s="6" t="s">
        <v>635</v>
      </c>
      <c r="D1181" s="6" t="s">
        <v>39</v>
      </c>
      <c r="E1181" s="6" t="s">
        <v>68</v>
      </c>
      <c r="F1181" s="6">
        <v>56</v>
      </c>
      <c r="G1181" s="6" t="s">
        <v>626</v>
      </c>
      <c r="H1181" s="6" t="s">
        <v>627</v>
      </c>
      <c r="I1181" s="6" t="s">
        <v>67</v>
      </c>
      <c r="J1181" s="6" t="s">
        <v>20</v>
      </c>
      <c r="K1181" s="7">
        <v>115.04</v>
      </c>
    </row>
    <row r="1182" spans="1:11" s="4" customFormat="1" ht="10.199999999999999" x14ac:dyDescent="0.2">
      <c r="A1182" s="6" t="str">
        <f t="shared" si="31"/>
        <v>0007020056</v>
      </c>
      <c r="B1182" s="6" t="str">
        <f>"533395"</f>
        <v>533395</v>
      </c>
      <c r="C1182" s="6" t="s">
        <v>633</v>
      </c>
      <c r="D1182" s="6" t="s">
        <v>39</v>
      </c>
      <c r="E1182" s="6" t="s">
        <v>13</v>
      </c>
      <c r="F1182" s="6">
        <v>56</v>
      </c>
      <c r="G1182" s="6" t="s">
        <v>626</v>
      </c>
      <c r="H1182" s="6" t="s">
        <v>627</v>
      </c>
      <c r="I1182" s="6" t="s">
        <v>90</v>
      </c>
      <c r="J1182" s="6" t="s">
        <v>20</v>
      </c>
      <c r="K1182" s="7">
        <v>115.04</v>
      </c>
    </row>
    <row r="1183" spans="1:11" s="4" customFormat="1" ht="10.199999999999999" x14ac:dyDescent="0.2">
      <c r="A1183" s="6" t="str">
        <f t="shared" si="31"/>
        <v>0007020056</v>
      </c>
      <c r="B1183" s="6" t="str">
        <f>"576610"</f>
        <v>576610</v>
      </c>
      <c r="C1183" s="6" t="s">
        <v>629</v>
      </c>
      <c r="D1183" s="6" t="s">
        <v>39</v>
      </c>
      <c r="E1183" s="6" t="s">
        <v>82</v>
      </c>
      <c r="F1183" s="6">
        <v>56</v>
      </c>
      <c r="G1183" s="6" t="s">
        <v>626</v>
      </c>
      <c r="H1183" s="6" t="s">
        <v>627</v>
      </c>
      <c r="I1183" s="6" t="s">
        <v>409</v>
      </c>
      <c r="J1183" s="6" t="s">
        <v>20</v>
      </c>
      <c r="K1183" s="7">
        <v>115.04</v>
      </c>
    </row>
    <row r="1184" spans="1:11" s="4" customFormat="1" ht="10.199999999999999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7"/>
    </row>
    <row r="1185" spans="1:11" s="4" customFormat="1" ht="10.199999999999999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7"/>
    </row>
    <row r="1186" spans="1:11" s="4" customFormat="1" ht="10.199999999999999" x14ac:dyDescent="0.2">
      <c r="A1186" s="6" t="str">
        <f t="shared" ref="A1186:A1192" si="32">"0006660100"</f>
        <v>0006660100</v>
      </c>
      <c r="B1186" s="6" t="str">
        <f>"130013"</f>
        <v>130013</v>
      </c>
      <c r="C1186" s="6" t="s">
        <v>637</v>
      </c>
      <c r="D1186" s="6" t="s">
        <v>230</v>
      </c>
      <c r="E1186" s="6" t="s">
        <v>13</v>
      </c>
      <c r="F1186" s="6">
        <v>100</v>
      </c>
      <c r="G1186" s="6" t="s">
        <v>638</v>
      </c>
      <c r="H1186" s="6" t="s">
        <v>639</v>
      </c>
      <c r="I1186" s="6" t="s">
        <v>49</v>
      </c>
      <c r="J1186" s="6" t="s">
        <v>17</v>
      </c>
      <c r="K1186" s="7">
        <v>93.36</v>
      </c>
    </row>
    <row r="1187" spans="1:11" s="4" customFormat="1" ht="20.399999999999999" x14ac:dyDescent="0.2">
      <c r="A1187" s="6" t="str">
        <f t="shared" si="32"/>
        <v>0006660100</v>
      </c>
      <c r="B1187" s="6" t="str">
        <f>"075514"</f>
        <v>075514</v>
      </c>
      <c r="C1187" s="6" t="s">
        <v>640</v>
      </c>
      <c r="D1187" s="6" t="s">
        <v>230</v>
      </c>
      <c r="E1187" s="6" t="s">
        <v>13</v>
      </c>
      <c r="F1187" s="6">
        <v>100</v>
      </c>
      <c r="G1187" s="6" t="s">
        <v>638</v>
      </c>
      <c r="H1187" s="6" t="s">
        <v>639</v>
      </c>
      <c r="I1187" s="6" t="s">
        <v>124</v>
      </c>
      <c r="J1187" s="6" t="s">
        <v>20</v>
      </c>
      <c r="K1187" s="7">
        <v>58.96</v>
      </c>
    </row>
    <row r="1188" spans="1:11" s="4" customFormat="1" ht="10.199999999999999" x14ac:dyDescent="0.2">
      <c r="A1188" s="6" t="str">
        <f t="shared" si="32"/>
        <v>0006660100</v>
      </c>
      <c r="B1188" s="6" t="str">
        <f>"099485"</f>
        <v>099485</v>
      </c>
      <c r="C1188" s="6" t="s">
        <v>641</v>
      </c>
      <c r="D1188" s="6" t="s">
        <v>230</v>
      </c>
      <c r="E1188" s="6" t="s">
        <v>13</v>
      </c>
      <c r="F1188" s="6">
        <v>100</v>
      </c>
      <c r="G1188" s="6" t="s">
        <v>638</v>
      </c>
      <c r="H1188" s="6" t="s">
        <v>639</v>
      </c>
      <c r="I1188" s="6" t="s">
        <v>30</v>
      </c>
      <c r="J1188" s="6" t="s">
        <v>20</v>
      </c>
      <c r="K1188" s="7">
        <v>58.96</v>
      </c>
    </row>
    <row r="1189" spans="1:11" s="4" customFormat="1" ht="20.399999999999999" x14ac:dyDescent="0.2">
      <c r="A1189" s="6" t="str">
        <f t="shared" si="32"/>
        <v>0006660100</v>
      </c>
      <c r="B1189" s="6" t="str">
        <f>"125457"</f>
        <v>125457</v>
      </c>
      <c r="C1189" s="6" t="s">
        <v>642</v>
      </c>
      <c r="D1189" s="6" t="s">
        <v>230</v>
      </c>
      <c r="E1189" s="6" t="s">
        <v>13</v>
      </c>
      <c r="F1189" s="6" t="s">
        <v>643</v>
      </c>
      <c r="G1189" s="6" t="s">
        <v>638</v>
      </c>
      <c r="H1189" s="6" t="s">
        <v>639</v>
      </c>
      <c r="I1189" s="6" t="s">
        <v>274</v>
      </c>
      <c r="J1189" s="6" t="s">
        <v>20</v>
      </c>
      <c r="K1189" s="7">
        <v>58.96</v>
      </c>
    </row>
    <row r="1190" spans="1:11" s="4" customFormat="1" ht="10.199999999999999" x14ac:dyDescent="0.2">
      <c r="A1190" s="6" t="str">
        <f t="shared" si="32"/>
        <v>0006660100</v>
      </c>
      <c r="B1190" s="6" t="str">
        <f>"159158"</f>
        <v>159158</v>
      </c>
      <c r="C1190" s="6" t="s">
        <v>644</v>
      </c>
      <c r="D1190" s="6" t="s">
        <v>230</v>
      </c>
      <c r="E1190" s="6" t="s">
        <v>13</v>
      </c>
      <c r="F1190" s="6">
        <v>100</v>
      </c>
      <c r="G1190" s="6" t="s">
        <v>638</v>
      </c>
      <c r="H1190" s="6" t="s">
        <v>639</v>
      </c>
      <c r="I1190" s="6" t="s">
        <v>90</v>
      </c>
      <c r="J1190" s="6" t="s">
        <v>20</v>
      </c>
      <c r="K1190" s="7">
        <v>58.96</v>
      </c>
    </row>
    <row r="1191" spans="1:11" s="4" customFormat="1" ht="20.399999999999999" x14ac:dyDescent="0.2">
      <c r="A1191" s="6" t="str">
        <f t="shared" si="32"/>
        <v>0006660100</v>
      </c>
      <c r="B1191" s="6" t="str">
        <f>"486276"</f>
        <v>486276</v>
      </c>
      <c r="C1191" s="6" t="s">
        <v>640</v>
      </c>
      <c r="D1191" s="6" t="s">
        <v>230</v>
      </c>
      <c r="E1191" s="6" t="s">
        <v>13</v>
      </c>
      <c r="F1191" s="6">
        <v>100</v>
      </c>
      <c r="G1191" s="6" t="s">
        <v>638</v>
      </c>
      <c r="H1191" s="6" t="s">
        <v>639</v>
      </c>
      <c r="I1191" s="6" t="s">
        <v>124</v>
      </c>
      <c r="J1191" s="6" t="s">
        <v>20</v>
      </c>
      <c r="K1191" s="7">
        <v>58.96</v>
      </c>
    </row>
    <row r="1192" spans="1:11" s="4" customFormat="1" ht="10.199999999999999" x14ac:dyDescent="0.2">
      <c r="A1192" s="6" t="str">
        <f t="shared" si="32"/>
        <v>0006660100</v>
      </c>
      <c r="B1192" s="6" t="str">
        <f>"506851"</f>
        <v>506851</v>
      </c>
      <c r="C1192" s="6" t="s">
        <v>645</v>
      </c>
      <c r="D1192" s="6" t="s">
        <v>230</v>
      </c>
      <c r="E1192" s="6" t="s">
        <v>13</v>
      </c>
      <c r="F1192" s="6">
        <v>100</v>
      </c>
      <c r="G1192" s="6" t="s">
        <v>638</v>
      </c>
      <c r="H1192" s="6" t="s">
        <v>639</v>
      </c>
      <c r="I1192" s="6" t="s">
        <v>35</v>
      </c>
      <c r="J1192" s="6" t="s">
        <v>20</v>
      </c>
      <c r="K1192" s="7">
        <v>58.96</v>
      </c>
    </row>
    <row r="1193" spans="1:11" s="4" customFormat="1" ht="10.199999999999999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7"/>
    </row>
    <row r="1194" spans="1:11" s="4" customFormat="1" ht="10.199999999999999" x14ac:dyDescent="0.2">
      <c r="A1194" s="6" t="str">
        <f t="shared" ref="A1194:A1200" si="33">"0006920100"</f>
        <v>0006920100</v>
      </c>
      <c r="B1194" s="6" t="str">
        <f>"130021"</f>
        <v>130021</v>
      </c>
      <c r="C1194" s="6" t="s">
        <v>637</v>
      </c>
      <c r="D1194" s="6" t="s">
        <v>166</v>
      </c>
      <c r="E1194" s="6" t="s">
        <v>13</v>
      </c>
      <c r="F1194" s="6">
        <v>100</v>
      </c>
      <c r="G1194" s="6" t="s">
        <v>638</v>
      </c>
      <c r="H1194" s="6" t="s">
        <v>639</v>
      </c>
      <c r="I1194" s="6" t="s">
        <v>49</v>
      </c>
      <c r="J1194" s="6" t="s">
        <v>17</v>
      </c>
      <c r="K1194" s="7">
        <v>162.41</v>
      </c>
    </row>
    <row r="1195" spans="1:11" s="4" customFormat="1" ht="20.399999999999999" x14ac:dyDescent="0.2">
      <c r="A1195" s="6" t="str">
        <f t="shared" si="33"/>
        <v>0006920100</v>
      </c>
      <c r="B1195" s="6" t="str">
        <f>"075551"</f>
        <v>075551</v>
      </c>
      <c r="C1195" s="6" t="s">
        <v>640</v>
      </c>
      <c r="D1195" s="6" t="s">
        <v>166</v>
      </c>
      <c r="E1195" s="6" t="s">
        <v>13</v>
      </c>
      <c r="F1195" s="6">
        <v>100</v>
      </c>
      <c r="G1195" s="6" t="s">
        <v>638</v>
      </c>
      <c r="H1195" s="6" t="s">
        <v>639</v>
      </c>
      <c r="I1195" s="6" t="s">
        <v>124</v>
      </c>
      <c r="J1195" s="6" t="s">
        <v>20</v>
      </c>
      <c r="K1195" s="7">
        <v>102.58</v>
      </c>
    </row>
    <row r="1196" spans="1:11" s="4" customFormat="1" ht="10.199999999999999" x14ac:dyDescent="0.2">
      <c r="A1196" s="6" t="str">
        <f t="shared" si="33"/>
        <v>0006920100</v>
      </c>
      <c r="B1196" s="6" t="str">
        <f>"099494"</f>
        <v>099494</v>
      </c>
      <c r="C1196" s="6" t="s">
        <v>641</v>
      </c>
      <c r="D1196" s="6" t="s">
        <v>166</v>
      </c>
      <c r="E1196" s="6" t="s">
        <v>13</v>
      </c>
      <c r="F1196" s="6">
        <v>100</v>
      </c>
      <c r="G1196" s="6" t="s">
        <v>638</v>
      </c>
      <c r="H1196" s="6" t="s">
        <v>639</v>
      </c>
      <c r="I1196" s="6" t="s">
        <v>30</v>
      </c>
      <c r="J1196" s="6" t="s">
        <v>20</v>
      </c>
      <c r="K1196" s="7">
        <v>102.58</v>
      </c>
    </row>
    <row r="1197" spans="1:11" s="4" customFormat="1" ht="10.199999999999999" x14ac:dyDescent="0.2">
      <c r="A1197" s="6" t="str">
        <f t="shared" si="33"/>
        <v>0006920100</v>
      </c>
      <c r="B1197" s="6" t="str">
        <f>"176549"</f>
        <v>176549</v>
      </c>
      <c r="C1197" s="6" t="s">
        <v>644</v>
      </c>
      <c r="D1197" s="6" t="s">
        <v>166</v>
      </c>
      <c r="E1197" s="6" t="s">
        <v>13</v>
      </c>
      <c r="F1197" s="6">
        <v>100</v>
      </c>
      <c r="G1197" s="6" t="s">
        <v>638</v>
      </c>
      <c r="H1197" s="6" t="s">
        <v>639</v>
      </c>
      <c r="I1197" s="6" t="s">
        <v>90</v>
      </c>
      <c r="J1197" s="6" t="s">
        <v>20</v>
      </c>
      <c r="K1197" s="7">
        <v>102.58</v>
      </c>
    </row>
    <row r="1198" spans="1:11" s="4" customFormat="1" ht="20.399999999999999" x14ac:dyDescent="0.2">
      <c r="A1198" s="6" t="str">
        <f t="shared" si="33"/>
        <v>0006920100</v>
      </c>
      <c r="B1198" s="6" t="str">
        <f>"180996"</f>
        <v>180996</v>
      </c>
      <c r="C1198" s="6" t="s">
        <v>640</v>
      </c>
      <c r="D1198" s="6" t="s">
        <v>166</v>
      </c>
      <c r="E1198" s="6" t="s">
        <v>13</v>
      </c>
      <c r="F1198" s="6">
        <v>100</v>
      </c>
      <c r="G1198" s="6" t="s">
        <v>638</v>
      </c>
      <c r="H1198" s="6" t="s">
        <v>639</v>
      </c>
      <c r="I1198" s="6" t="s">
        <v>124</v>
      </c>
      <c r="J1198" s="6" t="s">
        <v>20</v>
      </c>
      <c r="K1198" s="7">
        <v>102.58</v>
      </c>
    </row>
    <row r="1199" spans="1:11" s="4" customFormat="1" ht="10.199999999999999" x14ac:dyDescent="0.2">
      <c r="A1199" s="6" t="str">
        <f t="shared" si="33"/>
        <v>0006920100</v>
      </c>
      <c r="B1199" s="6" t="str">
        <f>"184233"</f>
        <v>184233</v>
      </c>
      <c r="C1199" s="6" t="s">
        <v>645</v>
      </c>
      <c r="D1199" s="6" t="s">
        <v>166</v>
      </c>
      <c r="E1199" s="6" t="s">
        <v>13</v>
      </c>
      <c r="F1199" s="6">
        <v>100</v>
      </c>
      <c r="G1199" s="6" t="s">
        <v>638</v>
      </c>
      <c r="H1199" s="6" t="s">
        <v>639</v>
      </c>
      <c r="I1199" s="6" t="s">
        <v>35</v>
      </c>
      <c r="J1199" s="6" t="s">
        <v>20</v>
      </c>
      <c r="K1199" s="7">
        <v>102.58</v>
      </c>
    </row>
    <row r="1200" spans="1:11" s="4" customFormat="1" ht="20.399999999999999" x14ac:dyDescent="0.2">
      <c r="A1200" s="6" t="str">
        <f t="shared" si="33"/>
        <v>0006920100</v>
      </c>
      <c r="B1200" s="6" t="str">
        <f>"565400"</f>
        <v>565400</v>
      </c>
      <c r="C1200" s="6" t="s">
        <v>642</v>
      </c>
      <c r="D1200" s="6" t="s">
        <v>166</v>
      </c>
      <c r="E1200" s="6" t="s">
        <v>13</v>
      </c>
      <c r="F1200" s="6" t="s">
        <v>643</v>
      </c>
      <c r="G1200" s="6" t="s">
        <v>638</v>
      </c>
      <c r="H1200" s="6" t="s">
        <v>639</v>
      </c>
      <c r="I1200" s="6" t="s">
        <v>274</v>
      </c>
      <c r="J1200" s="6" t="s">
        <v>20</v>
      </c>
      <c r="K1200" s="7">
        <v>102.58</v>
      </c>
    </row>
    <row r="1201" spans="1:11" s="4" customFormat="1" ht="10.199999999999999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7"/>
    </row>
    <row r="1202" spans="1:11" s="4" customFormat="1" ht="10.199999999999999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7"/>
    </row>
    <row r="1203" spans="1:11" s="4" customFormat="1" ht="10.199999999999999" x14ac:dyDescent="0.2">
      <c r="A1203" s="6" t="str">
        <f t="shared" ref="A1203:A1209" si="34">"0010880100"</f>
        <v>0010880100</v>
      </c>
      <c r="B1203" s="6" t="str">
        <f>"435651"</f>
        <v>435651</v>
      </c>
      <c r="C1203" s="6" t="s">
        <v>637</v>
      </c>
      <c r="D1203" s="6" t="s">
        <v>491</v>
      </c>
      <c r="E1203" s="6" t="s">
        <v>13</v>
      </c>
      <c r="F1203" s="6">
        <v>100</v>
      </c>
      <c r="G1203" s="6" t="s">
        <v>638</v>
      </c>
      <c r="H1203" s="6" t="s">
        <v>639</v>
      </c>
      <c r="I1203" s="6" t="s">
        <v>49</v>
      </c>
      <c r="J1203" s="6" t="s">
        <v>17</v>
      </c>
      <c r="K1203" s="7">
        <v>43.44</v>
      </c>
    </row>
    <row r="1204" spans="1:11" s="4" customFormat="1" ht="20.399999999999999" x14ac:dyDescent="0.2">
      <c r="A1204" s="6" t="str">
        <f t="shared" si="34"/>
        <v>0010880100</v>
      </c>
      <c r="B1204" s="6" t="str">
        <f>"075533"</f>
        <v>075533</v>
      </c>
      <c r="C1204" s="6" t="s">
        <v>640</v>
      </c>
      <c r="D1204" s="6" t="s">
        <v>491</v>
      </c>
      <c r="E1204" s="6" t="s">
        <v>13</v>
      </c>
      <c r="F1204" s="6">
        <v>100</v>
      </c>
      <c r="G1204" s="6" t="s">
        <v>638</v>
      </c>
      <c r="H1204" s="6" t="s">
        <v>639</v>
      </c>
      <c r="I1204" s="6" t="s">
        <v>124</v>
      </c>
      <c r="J1204" s="6" t="s">
        <v>20</v>
      </c>
      <c r="K1204" s="7">
        <v>27.44</v>
      </c>
    </row>
    <row r="1205" spans="1:11" s="4" customFormat="1" ht="10.199999999999999" x14ac:dyDescent="0.2">
      <c r="A1205" s="6" t="str">
        <f t="shared" si="34"/>
        <v>0010880100</v>
      </c>
      <c r="B1205" s="6" t="str">
        <f>"099476"</f>
        <v>099476</v>
      </c>
      <c r="C1205" s="6" t="s">
        <v>641</v>
      </c>
      <c r="D1205" s="6" t="s">
        <v>491</v>
      </c>
      <c r="E1205" s="6" t="s">
        <v>13</v>
      </c>
      <c r="F1205" s="6">
        <v>100</v>
      </c>
      <c r="G1205" s="6" t="s">
        <v>638</v>
      </c>
      <c r="H1205" s="6" t="s">
        <v>639</v>
      </c>
      <c r="I1205" s="6" t="s">
        <v>30</v>
      </c>
      <c r="J1205" s="6" t="s">
        <v>20</v>
      </c>
      <c r="K1205" s="7">
        <v>27.44</v>
      </c>
    </row>
    <row r="1206" spans="1:11" s="4" customFormat="1" ht="10.199999999999999" x14ac:dyDescent="0.2">
      <c r="A1206" s="6" t="str">
        <f t="shared" si="34"/>
        <v>0010880100</v>
      </c>
      <c r="B1206" s="6" t="str">
        <f>"151305"</f>
        <v>151305</v>
      </c>
      <c r="C1206" s="6" t="s">
        <v>644</v>
      </c>
      <c r="D1206" s="6" t="s">
        <v>491</v>
      </c>
      <c r="E1206" s="6" t="s">
        <v>13</v>
      </c>
      <c r="F1206" s="6">
        <v>100</v>
      </c>
      <c r="G1206" s="6" t="s">
        <v>638</v>
      </c>
      <c r="H1206" s="6" t="s">
        <v>639</v>
      </c>
      <c r="I1206" s="6" t="s">
        <v>90</v>
      </c>
      <c r="J1206" s="6" t="s">
        <v>20</v>
      </c>
      <c r="K1206" s="7">
        <v>27.44</v>
      </c>
    </row>
    <row r="1207" spans="1:11" s="4" customFormat="1" ht="10.199999999999999" x14ac:dyDescent="0.2">
      <c r="A1207" s="6" t="str">
        <f t="shared" si="34"/>
        <v>0010880100</v>
      </c>
      <c r="B1207" s="6" t="str">
        <f>"417138"</f>
        <v>417138</v>
      </c>
      <c r="C1207" s="6" t="s">
        <v>645</v>
      </c>
      <c r="D1207" s="6" t="s">
        <v>491</v>
      </c>
      <c r="E1207" s="6" t="s">
        <v>13</v>
      </c>
      <c r="F1207" s="6">
        <v>100</v>
      </c>
      <c r="G1207" s="6" t="s">
        <v>638</v>
      </c>
      <c r="H1207" s="6" t="s">
        <v>639</v>
      </c>
      <c r="I1207" s="6" t="s">
        <v>35</v>
      </c>
      <c r="J1207" s="6" t="s">
        <v>20</v>
      </c>
      <c r="K1207" s="7">
        <v>27.44</v>
      </c>
    </row>
    <row r="1208" spans="1:11" s="4" customFormat="1" ht="20.399999999999999" x14ac:dyDescent="0.2">
      <c r="A1208" s="6" t="str">
        <f t="shared" si="34"/>
        <v>0010880100</v>
      </c>
      <c r="B1208" s="6" t="str">
        <f>"448447"</f>
        <v>448447</v>
      </c>
      <c r="C1208" s="6" t="s">
        <v>640</v>
      </c>
      <c r="D1208" s="6" t="s">
        <v>491</v>
      </c>
      <c r="E1208" s="6" t="s">
        <v>13</v>
      </c>
      <c r="F1208" s="6">
        <v>100</v>
      </c>
      <c r="G1208" s="6" t="s">
        <v>638</v>
      </c>
      <c r="H1208" s="6" t="s">
        <v>639</v>
      </c>
      <c r="I1208" s="6" t="s">
        <v>124</v>
      </c>
      <c r="J1208" s="6" t="s">
        <v>20</v>
      </c>
      <c r="K1208" s="7">
        <v>27.44</v>
      </c>
    </row>
    <row r="1209" spans="1:11" s="4" customFormat="1" ht="20.399999999999999" x14ac:dyDescent="0.2">
      <c r="A1209" s="6" t="str">
        <f t="shared" si="34"/>
        <v>0010880100</v>
      </c>
      <c r="B1209" s="6" t="str">
        <f>"459812"</f>
        <v>459812</v>
      </c>
      <c r="C1209" s="6" t="s">
        <v>642</v>
      </c>
      <c r="D1209" s="6" t="s">
        <v>491</v>
      </c>
      <c r="E1209" s="6" t="s">
        <v>13</v>
      </c>
      <c r="F1209" s="6" t="s">
        <v>643</v>
      </c>
      <c r="G1209" s="6" t="s">
        <v>638</v>
      </c>
      <c r="H1209" s="6" t="s">
        <v>639</v>
      </c>
      <c r="I1209" s="6" t="s">
        <v>274</v>
      </c>
      <c r="J1209" s="6" t="s">
        <v>20</v>
      </c>
      <c r="K1209" s="7">
        <v>27.44</v>
      </c>
    </row>
    <row r="1210" spans="1:11" s="4" customFormat="1" ht="10.199999999999999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7"/>
    </row>
    <row r="1211" spans="1:11" s="4" customFormat="1" ht="10.199999999999999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7"/>
    </row>
    <row r="1212" spans="1:11" s="4" customFormat="1" ht="10.199999999999999" x14ac:dyDescent="0.2">
      <c r="A1212" s="6" t="str">
        <f t="shared" ref="A1212:A1218" si="35">"0010890100"</f>
        <v>0010890100</v>
      </c>
      <c r="B1212" s="6" t="str">
        <f>"005296"</f>
        <v>005296</v>
      </c>
      <c r="C1212" s="6" t="s">
        <v>637</v>
      </c>
      <c r="D1212" s="6" t="s">
        <v>12</v>
      </c>
      <c r="E1212" s="6" t="s">
        <v>13</v>
      </c>
      <c r="F1212" s="6">
        <v>100</v>
      </c>
      <c r="G1212" s="6" t="s">
        <v>638</v>
      </c>
      <c r="H1212" s="6" t="s">
        <v>639</v>
      </c>
      <c r="I1212" s="6" t="s">
        <v>49</v>
      </c>
      <c r="J1212" s="6" t="s">
        <v>17</v>
      </c>
      <c r="K1212" s="7">
        <v>219.26</v>
      </c>
    </row>
    <row r="1213" spans="1:11" s="4" customFormat="1" ht="20.399999999999999" x14ac:dyDescent="0.2">
      <c r="A1213" s="6" t="str">
        <f t="shared" si="35"/>
        <v>0010890100</v>
      </c>
      <c r="B1213" s="6" t="str">
        <f>"041738"</f>
        <v>041738</v>
      </c>
      <c r="C1213" s="6" t="s">
        <v>640</v>
      </c>
      <c r="D1213" s="6" t="s">
        <v>12</v>
      </c>
      <c r="E1213" s="6" t="s">
        <v>13</v>
      </c>
      <c r="F1213" s="6">
        <v>100</v>
      </c>
      <c r="G1213" s="6" t="s">
        <v>638</v>
      </c>
      <c r="H1213" s="6" t="s">
        <v>639</v>
      </c>
      <c r="I1213" s="6" t="s">
        <v>124</v>
      </c>
      <c r="J1213" s="6" t="s">
        <v>20</v>
      </c>
      <c r="K1213" s="7">
        <v>137.69999999999999</v>
      </c>
    </row>
    <row r="1214" spans="1:11" s="4" customFormat="1" ht="10.199999999999999" x14ac:dyDescent="0.2">
      <c r="A1214" s="6" t="str">
        <f t="shared" si="35"/>
        <v>0010890100</v>
      </c>
      <c r="B1214" s="6" t="str">
        <f>"099503"</f>
        <v>099503</v>
      </c>
      <c r="C1214" s="6" t="s">
        <v>641</v>
      </c>
      <c r="D1214" s="6" t="s">
        <v>12</v>
      </c>
      <c r="E1214" s="6" t="s">
        <v>13</v>
      </c>
      <c r="F1214" s="6">
        <v>100</v>
      </c>
      <c r="G1214" s="6" t="s">
        <v>638</v>
      </c>
      <c r="H1214" s="6" t="s">
        <v>639</v>
      </c>
      <c r="I1214" s="6" t="s">
        <v>30</v>
      </c>
      <c r="J1214" s="6" t="s">
        <v>20</v>
      </c>
      <c r="K1214" s="7">
        <v>137.69999999999999</v>
      </c>
    </row>
    <row r="1215" spans="1:11" s="4" customFormat="1" ht="10.199999999999999" x14ac:dyDescent="0.2">
      <c r="A1215" s="6" t="str">
        <f t="shared" si="35"/>
        <v>0010890100</v>
      </c>
      <c r="B1215" s="6" t="str">
        <f>"183671"</f>
        <v>183671</v>
      </c>
      <c r="C1215" s="6" t="s">
        <v>645</v>
      </c>
      <c r="D1215" s="6" t="s">
        <v>12</v>
      </c>
      <c r="E1215" s="6" t="s">
        <v>13</v>
      </c>
      <c r="F1215" s="6">
        <v>100</v>
      </c>
      <c r="G1215" s="6" t="s">
        <v>638</v>
      </c>
      <c r="H1215" s="6" t="s">
        <v>639</v>
      </c>
      <c r="I1215" s="6" t="s">
        <v>35</v>
      </c>
      <c r="J1215" s="6" t="s">
        <v>20</v>
      </c>
      <c r="K1215" s="7">
        <v>137.69999999999999</v>
      </c>
    </row>
    <row r="1216" spans="1:11" s="4" customFormat="1" ht="10.199999999999999" x14ac:dyDescent="0.2">
      <c r="A1216" s="6" t="str">
        <f t="shared" si="35"/>
        <v>0010890100</v>
      </c>
      <c r="B1216" s="6" t="str">
        <f>"197827"</f>
        <v>197827</v>
      </c>
      <c r="C1216" s="6" t="s">
        <v>644</v>
      </c>
      <c r="D1216" s="6" t="s">
        <v>12</v>
      </c>
      <c r="E1216" s="6" t="s">
        <v>13</v>
      </c>
      <c r="F1216" s="6">
        <v>100</v>
      </c>
      <c r="G1216" s="6" t="s">
        <v>638</v>
      </c>
      <c r="H1216" s="6" t="s">
        <v>639</v>
      </c>
      <c r="I1216" s="6" t="s">
        <v>90</v>
      </c>
      <c r="J1216" s="6" t="s">
        <v>20</v>
      </c>
      <c r="K1216" s="7">
        <v>137.69999999999999</v>
      </c>
    </row>
    <row r="1217" spans="1:11" s="4" customFormat="1" ht="20.399999999999999" x14ac:dyDescent="0.2">
      <c r="A1217" s="6" t="str">
        <f t="shared" si="35"/>
        <v>0010890100</v>
      </c>
      <c r="B1217" s="6" t="str">
        <f>"545488"</f>
        <v>545488</v>
      </c>
      <c r="C1217" s="6" t="s">
        <v>642</v>
      </c>
      <c r="D1217" s="6" t="s">
        <v>12</v>
      </c>
      <c r="E1217" s="6" t="s">
        <v>13</v>
      </c>
      <c r="F1217" s="6" t="s">
        <v>643</v>
      </c>
      <c r="G1217" s="6" t="s">
        <v>638</v>
      </c>
      <c r="H1217" s="6" t="s">
        <v>639</v>
      </c>
      <c r="I1217" s="6" t="s">
        <v>274</v>
      </c>
      <c r="J1217" s="6" t="s">
        <v>20</v>
      </c>
      <c r="K1217" s="7">
        <v>137.69999999999999</v>
      </c>
    </row>
    <row r="1218" spans="1:11" s="4" customFormat="1" ht="20.399999999999999" x14ac:dyDescent="0.2">
      <c r="A1218" s="6" t="str">
        <f t="shared" si="35"/>
        <v>0010890100</v>
      </c>
      <c r="B1218" s="6" t="str">
        <f>"598623"</f>
        <v>598623</v>
      </c>
      <c r="C1218" s="6" t="s">
        <v>640</v>
      </c>
      <c r="D1218" s="6" t="s">
        <v>12</v>
      </c>
      <c r="E1218" s="6" t="s">
        <v>13</v>
      </c>
      <c r="F1218" s="6">
        <v>100</v>
      </c>
      <c r="G1218" s="6" t="s">
        <v>638</v>
      </c>
      <c r="H1218" s="6" t="s">
        <v>639</v>
      </c>
      <c r="I1218" s="6" t="s">
        <v>124</v>
      </c>
      <c r="J1218" s="6" t="s">
        <v>20</v>
      </c>
      <c r="K1218" s="7">
        <v>137.69999999999999</v>
      </c>
    </row>
    <row r="1219" spans="1:11" s="4" customFormat="1" ht="10.199999999999999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7"/>
    </row>
    <row r="1220" spans="1:11" s="4" customFormat="1" ht="10.199999999999999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7"/>
    </row>
    <row r="1221" spans="1:11" s="4" customFormat="1" ht="10.199999999999999" x14ac:dyDescent="0.2">
      <c r="A1221" s="6" t="str">
        <f>"0012990060"</f>
        <v>0012990060</v>
      </c>
      <c r="B1221" s="6" t="str">
        <f>"119374"</f>
        <v>119374</v>
      </c>
      <c r="C1221" s="6" t="s">
        <v>646</v>
      </c>
      <c r="D1221" s="6" t="s">
        <v>166</v>
      </c>
      <c r="E1221" s="6" t="s">
        <v>135</v>
      </c>
      <c r="F1221" s="6">
        <v>60</v>
      </c>
      <c r="G1221" s="6" t="s">
        <v>638</v>
      </c>
      <c r="H1221" s="6" t="s">
        <v>639</v>
      </c>
      <c r="I1221" s="6" t="s">
        <v>49</v>
      </c>
      <c r="J1221" s="6" t="s">
        <v>17</v>
      </c>
      <c r="K1221" s="7">
        <v>76.83</v>
      </c>
    </row>
    <row r="1222" spans="1:11" s="4" customFormat="1" ht="20.399999999999999" x14ac:dyDescent="0.2">
      <c r="A1222" s="6" t="str">
        <f>"0012990060"</f>
        <v>0012990060</v>
      </c>
      <c r="B1222" s="6" t="str">
        <f>"167143"</f>
        <v>167143</v>
      </c>
      <c r="C1222" s="6" t="s">
        <v>640</v>
      </c>
      <c r="D1222" s="6" t="s">
        <v>166</v>
      </c>
      <c r="E1222" s="6" t="s">
        <v>135</v>
      </c>
      <c r="F1222" s="6">
        <v>60</v>
      </c>
      <c r="G1222" s="6" t="s">
        <v>638</v>
      </c>
      <c r="H1222" s="6" t="s">
        <v>639</v>
      </c>
      <c r="I1222" s="6" t="s">
        <v>124</v>
      </c>
      <c r="J1222" s="6" t="s">
        <v>20</v>
      </c>
      <c r="K1222" s="7">
        <v>47.38</v>
      </c>
    </row>
    <row r="1223" spans="1:11" s="4" customFormat="1" ht="10.199999999999999" x14ac:dyDescent="0.2">
      <c r="A1223" s="6" t="str">
        <f>"0012990060"</f>
        <v>0012990060</v>
      </c>
      <c r="B1223" s="6" t="str">
        <f>"374680"</f>
        <v>374680</v>
      </c>
      <c r="C1223" s="6" t="s">
        <v>647</v>
      </c>
      <c r="D1223" s="6" t="s">
        <v>166</v>
      </c>
      <c r="E1223" s="6" t="s">
        <v>135</v>
      </c>
      <c r="F1223" s="6">
        <v>60</v>
      </c>
      <c r="G1223" s="6" t="s">
        <v>638</v>
      </c>
      <c r="H1223" s="6" t="s">
        <v>639</v>
      </c>
      <c r="I1223" s="6" t="s">
        <v>648</v>
      </c>
      <c r="J1223" s="6" t="s">
        <v>20</v>
      </c>
      <c r="K1223" s="7">
        <v>47.38</v>
      </c>
    </row>
    <row r="1224" spans="1:11" s="4" customFormat="1" ht="10.199999999999999" x14ac:dyDescent="0.2">
      <c r="A1224" s="6" t="str">
        <f>"0012990060"</f>
        <v>0012990060</v>
      </c>
      <c r="B1224" s="6" t="str">
        <f>"401975"</f>
        <v>401975</v>
      </c>
      <c r="C1224" s="6" t="s">
        <v>644</v>
      </c>
      <c r="D1224" s="6" t="s">
        <v>166</v>
      </c>
      <c r="E1224" s="6" t="s">
        <v>135</v>
      </c>
      <c r="F1224" s="6">
        <v>60</v>
      </c>
      <c r="G1224" s="6" t="s">
        <v>638</v>
      </c>
      <c r="H1224" s="6" t="s">
        <v>639</v>
      </c>
      <c r="I1224" s="6" t="s">
        <v>90</v>
      </c>
      <c r="J1224" s="6" t="s">
        <v>20</v>
      </c>
      <c r="K1224" s="7">
        <v>47.38</v>
      </c>
    </row>
    <row r="1225" spans="1:11" s="4" customFormat="1" ht="10.199999999999999" x14ac:dyDescent="0.2">
      <c r="A1225" s="6" t="str">
        <f>"0012990060"</f>
        <v>0012990060</v>
      </c>
      <c r="B1225" s="6" t="str">
        <f>"559373"</f>
        <v>559373</v>
      </c>
      <c r="C1225" s="6" t="s">
        <v>649</v>
      </c>
      <c r="D1225" s="6" t="s">
        <v>166</v>
      </c>
      <c r="E1225" s="6" t="s">
        <v>135</v>
      </c>
      <c r="F1225" s="6">
        <v>60</v>
      </c>
      <c r="G1225" s="6" t="s">
        <v>638</v>
      </c>
      <c r="H1225" s="6" t="s">
        <v>639</v>
      </c>
      <c r="I1225" s="6" t="s">
        <v>37</v>
      </c>
      <c r="J1225" s="6" t="s">
        <v>20</v>
      </c>
      <c r="K1225" s="7">
        <v>47.38</v>
      </c>
    </row>
    <row r="1226" spans="1:11" s="4" customFormat="1" ht="10.199999999999999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7"/>
    </row>
    <row r="1227" spans="1:11" s="4" customFormat="1" ht="10.199999999999999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7"/>
    </row>
    <row r="1228" spans="1:11" s="4" customFormat="1" ht="10.199999999999999" x14ac:dyDescent="0.2">
      <c r="A1228" s="6" t="str">
        <f t="shared" ref="A1228:A1233" si="36">"0012990100"</f>
        <v>0012990100</v>
      </c>
      <c r="B1228" s="6" t="str">
        <f>"119385"</f>
        <v>119385</v>
      </c>
      <c r="C1228" s="6" t="s">
        <v>646</v>
      </c>
      <c r="D1228" s="6" t="s">
        <v>166</v>
      </c>
      <c r="E1228" s="6" t="s">
        <v>135</v>
      </c>
      <c r="F1228" s="6">
        <v>100</v>
      </c>
      <c r="G1228" s="6" t="s">
        <v>638</v>
      </c>
      <c r="H1228" s="6" t="s">
        <v>639</v>
      </c>
      <c r="I1228" s="6" t="s">
        <v>49</v>
      </c>
      <c r="J1228" s="6" t="s">
        <v>17</v>
      </c>
      <c r="K1228" s="7">
        <v>125.59</v>
      </c>
    </row>
    <row r="1229" spans="1:11" s="4" customFormat="1" ht="10.199999999999999" x14ac:dyDescent="0.2">
      <c r="A1229" s="6" t="str">
        <f t="shared" si="36"/>
        <v>0012990100</v>
      </c>
      <c r="B1229" s="6" t="str">
        <f>"052564"</f>
        <v>052564</v>
      </c>
      <c r="C1229" s="6" t="s">
        <v>644</v>
      </c>
      <c r="D1229" s="6" t="s">
        <v>166</v>
      </c>
      <c r="E1229" s="6" t="s">
        <v>135</v>
      </c>
      <c r="F1229" s="6">
        <v>100</v>
      </c>
      <c r="G1229" s="6" t="s">
        <v>638</v>
      </c>
      <c r="H1229" s="6" t="s">
        <v>639</v>
      </c>
      <c r="I1229" s="6" t="s">
        <v>90</v>
      </c>
      <c r="J1229" s="6" t="s">
        <v>20</v>
      </c>
      <c r="K1229" s="7">
        <v>77.44</v>
      </c>
    </row>
    <row r="1230" spans="1:11" s="4" customFormat="1" ht="20.399999999999999" x14ac:dyDescent="0.2">
      <c r="A1230" s="6" t="str">
        <f t="shared" si="36"/>
        <v>0012990100</v>
      </c>
      <c r="B1230" s="6" t="str">
        <f>"386574"</f>
        <v>386574</v>
      </c>
      <c r="C1230" s="6" t="s">
        <v>640</v>
      </c>
      <c r="D1230" s="6" t="s">
        <v>166</v>
      </c>
      <c r="E1230" s="6" t="s">
        <v>135</v>
      </c>
      <c r="F1230" s="6">
        <v>100</v>
      </c>
      <c r="G1230" s="6" t="s">
        <v>638</v>
      </c>
      <c r="H1230" s="6" t="s">
        <v>639</v>
      </c>
      <c r="I1230" s="6" t="s">
        <v>124</v>
      </c>
      <c r="J1230" s="6" t="s">
        <v>20</v>
      </c>
      <c r="K1230" s="7">
        <v>77.44</v>
      </c>
    </row>
    <row r="1231" spans="1:11" s="4" customFormat="1" ht="10.199999999999999" x14ac:dyDescent="0.2">
      <c r="A1231" s="6" t="str">
        <f t="shared" si="36"/>
        <v>0012990100</v>
      </c>
      <c r="B1231" s="6" t="str">
        <f>"413177"</f>
        <v>413177</v>
      </c>
      <c r="C1231" s="6" t="s">
        <v>649</v>
      </c>
      <c r="D1231" s="6" t="s">
        <v>166</v>
      </c>
      <c r="E1231" s="6" t="s">
        <v>135</v>
      </c>
      <c r="F1231" s="6">
        <v>100</v>
      </c>
      <c r="G1231" s="6" t="s">
        <v>638</v>
      </c>
      <c r="H1231" s="6" t="s">
        <v>639</v>
      </c>
      <c r="I1231" s="6" t="s">
        <v>37</v>
      </c>
      <c r="J1231" s="6" t="s">
        <v>20</v>
      </c>
      <c r="K1231" s="7">
        <v>77.44</v>
      </c>
    </row>
    <row r="1232" spans="1:11" s="4" customFormat="1" ht="20.399999999999999" x14ac:dyDescent="0.2">
      <c r="A1232" s="6" t="str">
        <f t="shared" si="36"/>
        <v>0012990100</v>
      </c>
      <c r="B1232" s="6" t="str">
        <f>"474169"</f>
        <v>474169</v>
      </c>
      <c r="C1232" s="6" t="s">
        <v>640</v>
      </c>
      <c r="D1232" s="6" t="s">
        <v>166</v>
      </c>
      <c r="E1232" s="6" t="s">
        <v>135</v>
      </c>
      <c r="F1232" s="6">
        <v>100</v>
      </c>
      <c r="G1232" s="6" t="s">
        <v>638</v>
      </c>
      <c r="H1232" s="6" t="s">
        <v>639</v>
      </c>
      <c r="I1232" s="6" t="s">
        <v>124</v>
      </c>
      <c r="J1232" s="6" t="s">
        <v>20</v>
      </c>
      <c r="K1232" s="7">
        <v>77.44</v>
      </c>
    </row>
    <row r="1233" spans="1:11" s="4" customFormat="1" ht="10.199999999999999" x14ac:dyDescent="0.2">
      <c r="A1233" s="6" t="str">
        <f t="shared" si="36"/>
        <v>0012990100</v>
      </c>
      <c r="B1233" s="6" t="str">
        <f>"517693"</f>
        <v>517693</v>
      </c>
      <c r="C1233" s="6" t="s">
        <v>647</v>
      </c>
      <c r="D1233" s="6" t="s">
        <v>166</v>
      </c>
      <c r="E1233" s="6" t="s">
        <v>135</v>
      </c>
      <c r="F1233" s="6">
        <v>100</v>
      </c>
      <c r="G1233" s="6" t="s">
        <v>638</v>
      </c>
      <c r="H1233" s="6" t="s">
        <v>639</v>
      </c>
      <c r="I1233" s="6" t="s">
        <v>648</v>
      </c>
      <c r="J1233" s="6" t="s">
        <v>20</v>
      </c>
      <c r="K1233" s="7">
        <v>77.44</v>
      </c>
    </row>
    <row r="1234" spans="1:11" s="4" customFormat="1" ht="10.199999999999999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7"/>
    </row>
    <row r="1235" spans="1:11" s="4" customFormat="1" ht="10.199999999999999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7"/>
    </row>
    <row r="1236" spans="1:11" s="4" customFormat="1" ht="10.199999999999999" x14ac:dyDescent="0.2">
      <c r="A1236" s="6" t="str">
        <f>"0013010060"</f>
        <v>0013010060</v>
      </c>
      <c r="B1236" s="6" t="str">
        <f>"119430"</f>
        <v>119430</v>
      </c>
      <c r="C1236" s="6" t="s">
        <v>646</v>
      </c>
      <c r="D1236" s="6" t="s">
        <v>172</v>
      </c>
      <c r="E1236" s="6" t="s">
        <v>135</v>
      </c>
      <c r="F1236" s="6">
        <v>60</v>
      </c>
      <c r="G1236" s="6" t="s">
        <v>638</v>
      </c>
      <c r="H1236" s="6" t="s">
        <v>639</v>
      </c>
      <c r="I1236" s="6" t="s">
        <v>49</v>
      </c>
      <c r="J1236" s="6" t="s">
        <v>17</v>
      </c>
      <c r="K1236" s="7">
        <v>130.36000000000001</v>
      </c>
    </row>
    <row r="1237" spans="1:11" s="4" customFormat="1" ht="10.199999999999999" x14ac:dyDescent="0.2">
      <c r="A1237" s="6" t="str">
        <f>"0013010060"</f>
        <v>0013010060</v>
      </c>
      <c r="B1237" s="6" t="str">
        <f>"071045"</f>
        <v>071045</v>
      </c>
      <c r="C1237" s="6" t="s">
        <v>644</v>
      </c>
      <c r="D1237" s="6" t="s">
        <v>172</v>
      </c>
      <c r="E1237" s="6" t="s">
        <v>135</v>
      </c>
      <c r="F1237" s="6">
        <v>60</v>
      </c>
      <c r="G1237" s="6" t="s">
        <v>638</v>
      </c>
      <c r="H1237" s="6" t="s">
        <v>639</v>
      </c>
      <c r="I1237" s="6" t="s">
        <v>90</v>
      </c>
      <c r="J1237" s="6" t="s">
        <v>20</v>
      </c>
      <c r="K1237" s="7">
        <v>80.39</v>
      </c>
    </row>
    <row r="1238" spans="1:11" s="4" customFormat="1" ht="10.199999999999999" x14ac:dyDescent="0.2">
      <c r="A1238" s="6" t="str">
        <f>"0013010060"</f>
        <v>0013010060</v>
      </c>
      <c r="B1238" s="6" t="str">
        <f>"076734"</f>
        <v>076734</v>
      </c>
      <c r="C1238" s="6" t="s">
        <v>647</v>
      </c>
      <c r="D1238" s="6" t="s">
        <v>172</v>
      </c>
      <c r="E1238" s="6" t="s">
        <v>135</v>
      </c>
      <c r="F1238" s="6">
        <v>60</v>
      </c>
      <c r="G1238" s="6" t="s">
        <v>638</v>
      </c>
      <c r="H1238" s="6" t="s">
        <v>639</v>
      </c>
      <c r="I1238" s="6" t="s">
        <v>648</v>
      </c>
      <c r="J1238" s="6" t="s">
        <v>20</v>
      </c>
      <c r="K1238" s="7">
        <v>80.39</v>
      </c>
    </row>
    <row r="1239" spans="1:11" s="4" customFormat="1" ht="10.199999999999999" x14ac:dyDescent="0.2">
      <c r="A1239" s="6" t="str">
        <f>"0013010060"</f>
        <v>0013010060</v>
      </c>
      <c r="B1239" s="6" t="str">
        <f>"493147"</f>
        <v>493147</v>
      </c>
      <c r="C1239" s="6" t="s">
        <v>649</v>
      </c>
      <c r="D1239" s="6" t="s">
        <v>172</v>
      </c>
      <c r="E1239" s="6" t="s">
        <v>135</v>
      </c>
      <c r="F1239" s="6">
        <v>60</v>
      </c>
      <c r="G1239" s="6" t="s">
        <v>638</v>
      </c>
      <c r="H1239" s="6" t="s">
        <v>639</v>
      </c>
      <c r="I1239" s="6" t="s">
        <v>37</v>
      </c>
      <c r="J1239" s="6" t="s">
        <v>20</v>
      </c>
      <c r="K1239" s="7">
        <v>80.39</v>
      </c>
    </row>
    <row r="1240" spans="1:11" s="4" customFormat="1" ht="20.399999999999999" x14ac:dyDescent="0.2">
      <c r="A1240" s="6" t="str">
        <f>"0013010060"</f>
        <v>0013010060</v>
      </c>
      <c r="B1240" s="6" t="str">
        <f>"547171"</f>
        <v>547171</v>
      </c>
      <c r="C1240" s="6" t="s">
        <v>640</v>
      </c>
      <c r="D1240" s="6" t="s">
        <v>172</v>
      </c>
      <c r="E1240" s="6" t="s">
        <v>135</v>
      </c>
      <c r="F1240" s="6">
        <v>60</v>
      </c>
      <c r="G1240" s="6" t="s">
        <v>638</v>
      </c>
      <c r="H1240" s="6" t="s">
        <v>639</v>
      </c>
      <c r="I1240" s="6" t="s">
        <v>124</v>
      </c>
      <c r="J1240" s="6" t="s">
        <v>20</v>
      </c>
      <c r="K1240" s="7">
        <v>80.39</v>
      </c>
    </row>
    <row r="1241" spans="1:11" s="4" customFormat="1" ht="10.199999999999999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7"/>
    </row>
    <row r="1242" spans="1:11" s="4" customFormat="1" ht="10.199999999999999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7"/>
    </row>
    <row r="1243" spans="1:11" s="4" customFormat="1" ht="10.199999999999999" x14ac:dyDescent="0.2">
      <c r="A1243" s="6" t="str">
        <f>"0013190010"</f>
        <v>0013190010</v>
      </c>
      <c r="B1243" s="6" t="str">
        <f>"119397"</f>
        <v>119397</v>
      </c>
      <c r="C1243" s="6" t="s">
        <v>646</v>
      </c>
      <c r="D1243" s="6" t="s">
        <v>12</v>
      </c>
      <c r="E1243" s="6" t="s">
        <v>135</v>
      </c>
      <c r="F1243" s="6">
        <v>10</v>
      </c>
      <c r="G1243" s="6" t="s">
        <v>638</v>
      </c>
      <c r="H1243" s="6" t="s">
        <v>639</v>
      </c>
      <c r="I1243" s="6" t="s">
        <v>49</v>
      </c>
      <c r="J1243" s="6" t="s">
        <v>17</v>
      </c>
      <c r="K1243" s="7">
        <v>18.41</v>
      </c>
    </row>
    <row r="1244" spans="1:11" s="4" customFormat="1" ht="10.199999999999999" x14ac:dyDescent="0.2">
      <c r="A1244" s="6" t="str">
        <f>"0013190010"</f>
        <v>0013190010</v>
      </c>
      <c r="B1244" s="6" t="str">
        <f>"081581"</f>
        <v>081581</v>
      </c>
      <c r="C1244" s="6" t="s">
        <v>649</v>
      </c>
      <c r="D1244" s="6" t="s">
        <v>12</v>
      </c>
      <c r="E1244" s="6" t="s">
        <v>135</v>
      </c>
      <c r="F1244" s="6">
        <v>10</v>
      </c>
      <c r="G1244" s="6" t="s">
        <v>638</v>
      </c>
      <c r="H1244" s="6" t="s">
        <v>639</v>
      </c>
      <c r="I1244" s="6" t="s">
        <v>37</v>
      </c>
      <c r="J1244" s="6" t="s">
        <v>20</v>
      </c>
      <c r="K1244" s="7">
        <v>11.35</v>
      </c>
    </row>
    <row r="1245" spans="1:11" s="4" customFormat="1" ht="20.399999999999999" x14ac:dyDescent="0.2">
      <c r="A1245" s="6" t="str">
        <f>"0013190010"</f>
        <v>0013190010</v>
      </c>
      <c r="B1245" s="6" t="str">
        <f>"146020"</f>
        <v>146020</v>
      </c>
      <c r="C1245" s="6" t="s">
        <v>640</v>
      </c>
      <c r="D1245" s="6" t="s">
        <v>12</v>
      </c>
      <c r="E1245" s="6" t="s">
        <v>135</v>
      </c>
      <c r="F1245" s="6">
        <v>10</v>
      </c>
      <c r="G1245" s="6" t="s">
        <v>638</v>
      </c>
      <c r="H1245" s="6" t="s">
        <v>639</v>
      </c>
      <c r="I1245" s="6" t="s">
        <v>124</v>
      </c>
      <c r="J1245" s="6" t="s">
        <v>20</v>
      </c>
      <c r="K1245" s="7">
        <v>11.35</v>
      </c>
    </row>
    <row r="1246" spans="1:11" s="4" customFormat="1" ht="10.199999999999999" x14ac:dyDescent="0.2">
      <c r="A1246" s="6" t="str">
        <f>"0013190010"</f>
        <v>0013190010</v>
      </c>
      <c r="B1246" s="6" t="str">
        <f>"149972"</f>
        <v>149972</v>
      </c>
      <c r="C1246" s="6" t="s">
        <v>644</v>
      </c>
      <c r="D1246" s="6" t="s">
        <v>12</v>
      </c>
      <c r="E1246" s="6" t="s">
        <v>135</v>
      </c>
      <c r="F1246" s="6">
        <v>10</v>
      </c>
      <c r="G1246" s="6" t="s">
        <v>638</v>
      </c>
      <c r="H1246" s="6" t="s">
        <v>639</v>
      </c>
      <c r="I1246" s="6" t="s">
        <v>90</v>
      </c>
      <c r="J1246" s="6" t="s">
        <v>20</v>
      </c>
      <c r="K1246" s="7">
        <v>11.35</v>
      </c>
    </row>
    <row r="1247" spans="1:11" s="4" customFormat="1" ht="10.199999999999999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7"/>
    </row>
    <row r="1248" spans="1:11" s="4" customFormat="1" ht="10.199999999999999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7"/>
    </row>
    <row r="1249" spans="1:11" s="4" customFormat="1" ht="10.199999999999999" x14ac:dyDescent="0.2">
      <c r="A1249" s="6" t="str">
        <f>"0013190060"</f>
        <v>0013190060</v>
      </c>
      <c r="B1249" s="6" t="str">
        <f>"119408"</f>
        <v>119408</v>
      </c>
      <c r="C1249" s="6" t="s">
        <v>646</v>
      </c>
      <c r="D1249" s="6" t="s">
        <v>12</v>
      </c>
      <c r="E1249" s="6" t="s">
        <v>135</v>
      </c>
      <c r="F1249" s="6">
        <v>60</v>
      </c>
      <c r="G1249" s="6" t="s">
        <v>638</v>
      </c>
      <c r="H1249" s="6" t="s">
        <v>639</v>
      </c>
      <c r="I1249" s="6" t="s">
        <v>49</v>
      </c>
      <c r="J1249" s="6" t="s">
        <v>17</v>
      </c>
      <c r="K1249" s="7">
        <v>102.53</v>
      </c>
    </row>
    <row r="1250" spans="1:11" s="4" customFormat="1" ht="10.199999999999999" x14ac:dyDescent="0.2">
      <c r="A1250" s="6" t="str">
        <f>"0013190060"</f>
        <v>0013190060</v>
      </c>
      <c r="B1250" s="6" t="str">
        <f>"088993"</f>
        <v>088993</v>
      </c>
      <c r="C1250" s="6" t="s">
        <v>649</v>
      </c>
      <c r="D1250" s="6" t="s">
        <v>12</v>
      </c>
      <c r="E1250" s="6" t="s">
        <v>135</v>
      </c>
      <c r="F1250" s="6">
        <v>60</v>
      </c>
      <c r="G1250" s="6" t="s">
        <v>638</v>
      </c>
      <c r="H1250" s="6" t="s">
        <v>639</v>
      </c>
      <c r="I1250" s="6" t="s">
        <v>37</v>
      </c>
      <c r="J1250" s="6" t="s">
        <v>20</v>
      </c>
      <c r="K1250" s="7">
        <v>63.22</v>
      </c>
    </row>
    <row r="1251" spans="1:11" s="4" customFormat="1" ht="10.199999999999999" x14ac:dyDescent="0.2">
      <c r="A1251" s="6" t="str">
        <f>"0013190060"</f>
        <v>0013190060</v>
      </c>
      <c r="B1251" s="6" t="str">
        <f>"129419"</f>
        <v>129419</v>
      </c>
      <c r="C1251" s="6" t="s">
        <v>647</v>
      </c>
      <c r="D1251" s="6" t="s">
        <v>12</v>
      </c>
      <c r="E1251" s="6" t="s">
        <v>135</v>
      </c>
      <c r="F1251" s="6">
        <v>60</v>
      </c>
      <c r="G1251" s="6" t="s">
        <v>638</v>
      </c>
      <c r="H1251" s="6" t="s">
        <v>639</v>
      </c>
      <c r="I1251" s="6" t="s">
        <v>648</v>
      </c>
      <c r="J1251" s="6" t="s">
        <v>20</v>
      </c>
      <c r="K1251" s="7">
        <v>63.22</v>
      </c>
    </row>
    <row r="1252" spans="1:11" s="4" customFormat="1" ht="10.199999999999999" x14ac:dyDescent="0.2">
      <c r="A1252" s="6" t="str">
        <f>"0013190060"</f>
        <v>0013190060</v>
      </c>
      <c r="B1252" s="6" t="str">
        <f>"145570"</f>
        <v>145570</v>
      </c>
      <c r="C1252" s="6" t="s">
        <v>644</v>
      </c>
      <c r="D1252" s="6" t="s">
        <v>12</v>
      </c>
      <c r="E1252" s="6" t="s">
        <v>135</v>
      </c>
      <c r="F1252" s="6">
        <v>60</v>
      </c>
      <c r="G1252" s="6" t="s">
        <v>638</v>
      </c>
      <c r="H1252" s="6" t="s">
        <v>639</v>
      </c>
      <c r="I1252" s="6" t="s">
        <v>90</v>
      </c>
      <c r="J1252" s="6" t="s">
        <v>20</v>
      </c>
      <c r="K1252" s="7">
        <v>63.22</v>
      </c>
    </row>
    <row r="1253" spans="1:11" s="4" customFormat="1" ht="20.399999999999999" x14ac:dyDescent="0.2">
      <c r="A1253" s="6" t="str">
        <f>"0013190060"</f>
        <v>0013190060</v>
      </c>
      <c r="B1253" s="6" t="str">
        <f>"371851"</f>
        <v>371851</v>
      </c>
      <c r="C1253" s="6" t="s">
        <v>640</v>
      </c>
      <c r="D1253" s="6" t="s">
        <v>12</v>
      </c>
      <c r="E1253" s="6" t="s">
        <v>135</v>
      </c>
      <c r="F1253" s="6">
        <v>60</v>
      </c>
      <c r="G1253" s="6" t="s">
        <v>638</v>
      </c>
      <c r="H1253" s="6" t="s">
        <v>639</v>
      </c>
      <c r="I1253" s="6" t="s">
        <v>124</v>
      </c>
      <c r="J1253" s="6" t="s">
        <v>20</v>
      </c>
      <c r="K1253" s="7">
        <v>63.22</v>
      </c>
    </row>
    <row r="1254" spans="1:11" s="4" customFormat="1" ht="10.199999999999999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7"/>
    </row>
    <row r="1255" spans="1:11" s="4" customFormat="1" ht="10.199999999999999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7"/>
    </row>
    <row r="1256" spans="1:11" s="4" customFormat="1" ht="10.199999999999999" x14ac:dyDescent="0.2">
      <c r="A1256" s="6" t="str">
        <f t="shared" ref="A1256:A1261" si="37">"0013190100"</f>
        <v>0013190100</v>
      </c>
      <c r="B1256" s="6" t="str">
        <f>"119419"</f>
        <v>119419</v>
      </c>
      <c r="C1256" s="6" t="s">
        <v>646</v>
      </c>
      <c r="D1256" s="6" t="s">
        <v>12</v>
      </c>
      <c r="E1256" s="6" t="s">
        <v>135</v>
      </c>
      <c r="F1256" s="6">
        <v>100</v>
      </c>
      <c r="G1256" s="6" t="s">
        <v>638</v>
      </c>
      <c r="H1256" s="6" t="s">
        <v>639</v>
      </c>
      <c r="I1256" s="6" t="s">
        <v>49</v>
      </c>
      <c r="J1256" s="6" t="s">
        <v>17</v>
      </c>
      <c r="K1256" s="7">
        <v>167.61</v>
      </c>
    </row>
    <row r="1257" spans="1:11" s="4" customFormat="1" ht="10.199999999999999" x14ac:dyDescent="0.2">
      <c r="A1257" s="6" t="str">
        <f t="shared" si="37"/>
        <v>0013190100</v>
      </c>
      <c r="B1257" s="6" t="str">
        <f>"182882"</f>
        <v>182882</v>
      </c>
      <c r="C1257" s="6" t="s">
        <v>644</v>
      </c>
      <c r="D1257" s="6" t="s">
        <v>12</v>
      </c>
      <c r="E1257" s="6" t="s">
        <v>135</v>
      </c>
      <c r="F1257" s="6">
        <v>100</v>
      </c>
      <c r="G1257" s="6" t="s">
        <v>638</v>
      </c>
      <c r="H1257" s="6" t="s">
        <v>639</v>
      </c>
      <c r="I1257" s="6" t="s">
        <v>90</v>
      </c>
      <c r="J1257" s="6" t="s">
        <v>20</v>
      </c>
      <c r="K1257" s="7">
        <v>103.36</v>
      </c>
    </row>
    <row r="1258" spans="1:11" s="4" customFormat="1" ht="20.399999999999999" x14ac:dyDescent="0.2">
      <c r="A1258" s="6" t="str">
        <f t="shared" si="37"/>
        <v>0013190100</v>
      </c>
      <c r="B1258" s="6" t="str">
        <f>"384498"</f>
        <v>384498</v>
      </c>
      <c r="C1258" s="6" t="s">
        <v>640</v>
      </c>
      <c r="D1258" s="6" t="s">
        <v>12</v>
      </c>
      <c r="E1258" s="6" t="s">
        <v>135</v>
      </c>
      <c r="F1258" s="6">
        <v>100</v>
      </c>
      <c r="G1258" s="6" t="s">
        <v>638</v>
      </c>
      <c r="H1258" s="6" t="s">
        <v>639</v>
      </c>
      <c r="I1258" s="6" t="s">
        <v>124</v>
      </c>
      <c r="J1258" s="6" t="s">
        <v>20</v>
      </c>
      <c r="K1258" s="7">
        <v>103.36</v>
      </c>
    </row>
    <row r="1259" spans="1:11" s="4" customFormat="1" ht="10.199999999999999" x14ac:dyDescent="0.2">
      <c r="A1259" s="6" t="str">
        <f t="shared" si="37"/>
        <v>0013190100</v>
      </c>
      <c r="B1259" s="6" t="str">
        <f>"477295"</f>
        <v>477295</v>
      </c>
      <c r="C1259" s="6" t="s">
        <v>647</v>
      </c>
      <c r="D1259" s="6" t="s">
        <v>12</v>
      </c>
      <c r="E1259" s="6" t="s">
        <v>135</v>
      </c>
      <c r="F1259" s="6">
        <v>100</v>
      </c>
      <c r="G1259" s="6" t="s">
        <v>638</v>
      </c>
      <c r="H1259" s="6" t="s">
        <v>639</v>
      </c>
      <c r="I1259" s="6" t="s">
        <v>648</v>
      </c>
      <c r="J1259" s="6" t="s">
        <v>20</v>
      </c>
      <c r="K1259" s="7">
        <v>103.36</v>
      </c>
    </row>
    <row r="1260" spans="1:11" s="4" customFormat="1" ht="20.399999999999999" x14ac:dyDescent="0.2">
      <c r="A1260" s="6" t="str">
        <f t="shared" si="37"/>
        <v>0013190100</v>
      </c>
      <c r="B1260" s="6" t="str">
        <f>"527171"</f>
        <v>527171</v>
      </c>
      <c r="C1260" s="6" t="s">
        <v>640</v>
      </c>
      <c r="D1260" s="6" t="s">
        <v>12</v>
      </c>
      <c r="E1260" s="6" t="s">
        <v>135</v>
      </c>
      <c r="F1260" s="6">
        <v>100</v>
      </c>
      <c r="G1260" s="6" t="s">
        <v>638</v>
      </c>
      <c r="H1260" s="6" t="s">
        <v>639</v>
      </c>
      <c r="I1260" s="6" t="s">
        <v>124</v>
      </c>
      <c r="J1260" s="6" t="s">
        <v>20</v>
      </c>
      <c r="K1260" s="7">
        <v>103.36</v>
      </c>
    </row>
    <row r="1261" spans="1:11" s="4" customFormat="1" ht="10.199999999999999" x14ac:dyDescent="0.2">
      <c r="A1261" s="6" t="str">
        <f t="shared" si="37"/>
        <v>0013190100</v>
      </c>
      <c r="B1261" s="6" t="str">
        <f>"538794"</f>
        <v>538794</v>
      </c>
      <c r="C1261" s="6" t="s">
        <v>649</v>
      </c>
      <c r="D1261" s="6" t="s">
        <v>12</v>
      </c>
      <c r="E1261" s="6" t="s">
        <v>135</v>
      </c>
      <c r="F1261" s="6">
        <v>100</v>
      </c>
      <c r="G1261" s="6" t="s">
        <v>638</v>
      </c>
      <c r="H1261" s="6" t="s">
        <v>639</v>
      </c>
      <c r="I1261" s="6" t="s">
        <v>37</v>
      </c>
      <c r="J1261" s="6" t="s">
        <v>20</v>
      </c>
      <c r="K1261" s="7">
        <v>103.36</v>
      </c>
    </row>
    <row r="1262" spans="1:11" s="4" customFormat="1" ht="10.199999999999999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7"/>
    </row>
    <row r="1263" spans="1:11" s="4" customFormat="1" ht="20.399999999999999" x14ac:dyDescent="0.2">
      <c r="A1263" s="6" t="str">
        <f>"0007290030"</f>
        <v>0007290030</v>
      </c>
      <c r="B1263" s="6" t="str">
        <f>"011118"</f>
        <v>011118</v>
      </c>
      <c r="C1263" s="6" t="s">
        <v>650</v>
      </c>
      <c r="D1263" s="6" t="s">
        <v>93</v>
      </c>
      <c r="E1263" s="6" t="s">
        <v>82</v>
      </c>
      <c r="F1263" s="6">
        <v>28</v>
      </c>
      <c r="G1263" s="6" t="s">
        <v>651</v>
      </c>
      <c r="H1263" s="6" t="s">
        <v>652</v>
      </c>
      <c r="I1263" s="6" t="s">
        <v>653</v>
      </c>
      <c r="J1263" s="6" t="s">
        <v>17</v>
      </c>
      <c r="K1263" s="7">
        <v>84.65</v>
      </c>
    </row>
    <row r="1264" spans="1:11" s="4" customFormat="1" ht="10.199999999999999" x14ac:dyDescent="0.2">
      <c r="A1264" s="6" t="str">
        <f>"0007290030"</f>
        <v>0007290030</v>
      </c>
      <c r="B1264" s="6" t="str">
        <f>"123435"</f>
        <v>123435</v>
      </c>
      <c r="C1264" s="6" t="s">
        <v>654</v>
      </c>
      <c r="D1264" s="6" t="s">
        <v>93</v>
      </c>
      <c r="E1264" s="6" t="s">
        <v>82</v>
      </c>
      <c r="F1264" s="6">
        <v>28</v>
      </c>
      <c r="G1264" s="6" t="s">
        <v>651</v>
      </c>
      <c r="H1264" s="6" t="s">
        <v>652</v>
      </c>
      <c r="I1264" s="6" t="s">
        <v>28</v>
      </c>
      <c r="J1264" s="6" t="s">
        <v>20</v>
      </c>
      <c r="K1264" s="7">
        <v>50.79</v>
      </c>
    </row>
    <row r="1265" spans="1:11" s="4" customFormat="1" ht="10.199999999999999" x14ac:dyDescent="0.2">
      <c r="A1265" s="6" t="str">
        <f>"0007290030"</f>
        <v>0007290030</v>
      </c>
      <c r="B1265" s="6" t="str">
        <f>"420816"</f>
        <v>420816</v>
      </c>
      <c r="C1265" s="6" t="s">
        <v>655</v>
      </c>
      <c r="D1265" s="6" t="s">
        <v>93</v>
      </c>
      <c r="E1265" s="6" t="s">
        <v>82</v>
      </c>
      <c r="F1265" s="6">
        <v>28</v>
      </c>
      <c r="G1265" s="6" t="s">
        <v>651</v>
      </c>
      <c r="H1265" s="6" t="s">
        <v>652</v>
      </c>
      <c r="I1265" s="6" t="s">
        <v>19</v>
      </c>
      <c r="J1265" s="6" t="s">
        <v>20</v>
      </c>
      <c r="K1265" s="7">
        <v>50.79</v>
      </c>
    </row>
    <row r="1266" spans="1:11" s="4" customFormat="1" ht="10.199999999999999" x14ac:dyDescent="0.2">
      <c r="A1266" s="6" t="str">
        <f>"0007290030"</f>
        <v>0007290030</v>
      </c>
      <c r="B1266" s="6" t="str">
        <f>"539830"</f>
        <v>539830</v>
      </c>
      <c r="C1266" s="6" t="s">
        <v>656</v>
      </c>
      <c r="D1266" s="6" t="s">
        <v>93</v>
      </c>
      <c r="E1266" s="6" t="s">
        <v>82</v>
      </c>
      <c r="F1266" s="6">
        <v>28</v>
      </c>
      <c r="G1266" s="6" t="s">
        <v>651</v>
      </c>
      <c r="H1266" s="6" t="s">
        <v>652</v>
      </c>
      <c r="I1266" s="6" t="s">
        <v>35</v>
      </c>
      <c r="J1266" s="6" t="s">
        <v>20</v>
      </c>
      <c r="K1266" s="7">
        <v>50.79</v>
      </c>
    </row>
    <row r="1267" spans="1:11" s="4" customFormat="1" ht="10.199999999999999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7"/>
    </row>
    <row r="1268" spans="1:11" s="4" customFormat="1" ht="10.199999999999999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7"/>
    </row>
    <row r="1269" spans="1:11" s="4" customFormat="1" ht="20.399999999999999" x14ac:dyDescent="0.2">
      <c r="A1269" s="6" t="str">
        <f>"0007290056"</f>
        <v>0007290056</v>
      </c>
      <c r="B1269" s="6" t="str">
        <f>"011186"</f>
        <v>011186</v>
      </c>
      <c r="C1269" s="6" t="s">
        <v>650</v>
      </c>
      <c r="D1269" s="6" t="s">
        <v>93</v>
      </c>
      <c r="E1269" s="6" t="s">
        <v>82</v>
      </c>
      <c r="F1269" s="6">
        <v>56</v>
      </c>
      <c r="G1269" s="6" t="s">
        <v>651</v>
      </c>
      <c r="H1269" s="6" t="s">
        <v>652</v>
      </c>
      <c r="I1269" s="6" t="s">
        <v>653</v>
      </c>
      <c r="J1269" s="6" t="s">
        <v>17</v>
      </c>
      <c r="K1269" s="7">
        <v>155.74</v>
      </c>
    </row>
    <row r="1270" spans="1:11" s="4" customFormat="1" ht="10.199999999999999" x14ac:dyDescent="0.2">
      <c r="A1270" s="6" t="str">
        <f>"0007290056"</f>
        <v>0007290056</v>
      </c>
      <c r="B1270" s="6" t="str">
        <f>"088445"</f>
        <v>088445</v>
      </c>
      <c r="C1270" s="6" t="s">
        <v>654</v>
      </c>
      <c r="D1270" s="6" t="s">
        <v>93</v>
      </c>
      <c r="E1270" s="6" t="s">
        <v>82</v>
      </c>
      <c r="F1270" s="6">
        <v>56</v>
      </c>
      <c r="G1270" s="6" t="s">
        <v>651</v>
      </c>
      <c r="H1270" s="6" t="s">
        <v>652</v>
      </c>
      <c r="I1270" s="6" t="s">
        <v>28</v>
      </c>
      <c r="J1270" s="6" t="s">
        <v>20</v>
      </c>
      <c r="K1270" s="7">
        <v>93.44</v>
      </c>
    </row>
    <row r="1271" spans="1:11" s="4" customFormat="1" ht="10.199999999999999" x14ac:dyDescent="0.2">
      <c r="A1271" s="6" t="str">
        <f>"0007290056"</f>
        <v>0007290056</v>
      </c>
      <c r="B1271" s="6" t="str">
        <f>"568945"</f>
        <v>568945</v>
      </c>
      <c r="C1271" s="6" t="s">
        <v>655</v>
      </c>
      <c r="D1271" s="6" t="s">
        <v>93</v>
      </c>
      <c r="E1271" s="6" t="s">
        <v>82</v>
      </c>
      <c r="F1271" s="6">
        <v>56</v>
      </c>
      <c r="G1271" s="6" t="s">
        <v>651</v>
      </c>
      <c r="H1271" s="6" t="s">
        <v>652</v>
      </c>
      <c r="I1271" s="6" t="s">
        <v>19</v>
      </c>
      <c r="J1271" s="6" t="s">
        <v>20</v>
      </c>
      <c r="K1271" s="7">
        <v>93.44</v>
      </c>
    </row>
    <row r="1272" spans="1:11" s="4" customFormat="1" ht="10.199999999999999" x14ac:dyDescent="0.2">
      <c r="A1272" s="6" t="str">
        <f>"0007290056"</f>
        <v>0007290056</v>
      </c>
      <c r="B1272" s="6" t="str">
        <f>"458093"</f>
        <v>458093</v>
      </c>
      <c r="C1272" s="6" t="s">
        <v>656</v>
      </c>
      <c r="D1272" s="6" t="s">
        <v>93</v>
      </c>
      <c r="E1272" s="6" t="s">
        <v>82</v>
      </c>
      <c r="F1272" s="6">
        <v>56</v>
      </c>
      <c r="G1272" s="6" t="s">
        <v>651</v>
      </c>
      <c r="H1272" s="6" t="s">
        <v>652</v>
      </c>
      <c r="I1272" s="6" t="s">
        <v>35</v>
      </c>
      <c r="J1272" s="6" t="s">
        <v>20</v>
      </c>
      <c r="K1272" s="7">
        <v>93.44</v>
      </c>
    </row>
    <row r="1273" spans="1:11" s="4" customFormat="1" ht="10.199999999999999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7"/>
    </row>
    <row r="1274" spans="1:11" s="4" customFormat="1" ht="10.199999999999999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7"/>
    </row>
    <row r="1275" spans="1:11" s="4" customFormat="1" ht="20.399999999999999" x14ac:dyDescent="0.2">
      <c r="A1275" s="6" t="str">
        <f>"0007300056"</f>
        <v>0007300056</v>
      </c>
      <c r="B1275" s="6" t="str">
        <f>"011195"</f>
        <v>011195</v>
      </c>
      <c r="C1275" s="6" t="s">
        <v>650</v>
      </c>
      <c r="D1275" s="6" t="s">
        <v>81</v>
      </c>
      <c r="E1275" s="6" t="s">
        <v>82</v>
      </c>
      <c r="F1275" s="6">
        <v>56</v>
      </c>
      <c r="G1275" s="6" t="s">
        <v>651</v>
      </c>
      <c r="H1275" s="6" t="s">
        <v>652</v>
      </c>
      <c r="I1275" s="6" t="s">
        <v>653</v>
      </c>
      <c r="J1275" s="6" t="s">
        <v>17</v>
      </c>
      <c r="K1275" s="7">
        <v>264.39999999999998</v>
      </c>
    </row>
    <row r="1276" spans="1:11" s="4" customFormat="1" ht="10.199999999999999" x14ac:dyDescent="0.2">
      <c r="A1276" s="6" t="str">
        <f>"0007300056"</f>
        <v>0007300056</v>
      </c>
      <c r="B1276" s="6" t="str">
        <f>"113143"</f>
        <v>113143</v>
      </c>
      <c r="C1276" s="6" t="s">
        <v>654</v>
      </c>
      <c r="D1276" s="6" t="s">
        <v>81</v>
      </c>
      <c r="E1276" s="6" t="s">
        <v>82</v>
      </c>
      <c r="F1276" s="6">
        <v>56</v>
      </c>
      <c r="G1276" s="6" t="s">
        <v>651</v>
      </c>
      <c r="H1276" s="6" t="s">
        <v>652</v>
      </c>
      <c r="I1276" s="6" t="s">
        <v>28</v>
      </c>
      <c r="J1276" s="6" t="s">
        <v>20</v>
      </c>
      <c r="K1276" s="7">
        <v>158.63999999999999</v>
      </c>
    </row>
    <row r="1277" spans="1:11" s="4" customFormat="1" ht="10.199999999999999" x14ac:dyDescent="0.2">
      <c r="A1277" s="6" t="str">
        <f>"0007300056"</f>
        <v>0007300056</v>
      </c>
      <c r="B1277" s="6" t="str">
        <f>"153560"</f>
        <v>153560</v>
      </c>
      <c r="C1277" s="6" t="s">
        <v>655</v>
      </c>
      <c r="D1277" s="6" t="s">
        <v>81</v>
      </c>
      <c r="E1277" s="6" t="s">
        <v>82</v>
      </c>
      <c r="F1277" s="6">
        <v>56</v>
      </c>
      <c r="G1277" s="6" t="s">
        <v>651</v>
      </c>
      <c r="H1277" s="6" t="s">
        <v>652</v>
      </c>
      <c r="I1277" s="6" t="s">
        <v>19</v>
      </c>
      <c r="J1277" s="6" t="s">
        <v>20</v>
      </c>
      <c r="K1277" s="7">
        <v>158.63999999999999</v>
      </c>
    </row>
    <row r="1278" spans="1:11" s="4" customFormat="1" ht="10.199999999999999" x14ac:dyDescent="0.2">
      <c r="A1278" s="6" t="str">
        <f>"0007300056"</f>
        <v>0007300056</v>
      </c>
      <c r="B1278" s="6" t="str">
        <f>"512094"</f>
        <v>512094</v>
      </c>
      <c r="C1278" s="6" t="s">
        <v>656</v>
      </c>
      <c r="D1278" s="6" t="s">
        <v>81</v>
      </c>
      <c r="E1278" s="6" t="s">
        <v>82</v>
      </c>
      <c r="F1278" s="6">
        <v>56</v>
      </c>
      <c r="G1278" s="6" t="s">
        <v>651</v>
      </c>
      <c r="H1278" s="6" t="s">
        <v>652</v>
      </c>
      <c r="I1278" s="6" t="s">
        <v>35</v>
      </c>
      <c r="J1278" s="6" t="s">
        <v>20</v>
      </c>
      <c r="K1278" s="7">
        <v>158.63999999999999</v>
      </c>
    </row>
    <row r="1279" spans="1:11" s="4" customFormat="1" ht="10.199999999999999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7"/>
    </row>
    <row r="1280" spans="1:11" s="4" customFormat="1" ht="10.199999999999999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7"/>
    </row>
    <row r="1281" spans="1:11" s="4" customFormat="1" ht="10.199999999999999" x14ac:dyDescent="0.2">
      <c r="A1281" s="6" t="str">
        <f>"0010070100"</f>
        <v>0010070100</v>
      </c>
      <c r="B1281" s="6" t="str">
        <f>"123273"</f>
        <v>123273</v>
      </c>
      <c r="C1281" s="6" t="s">
        <v>657</v>
      </c>
      <c r="D1281" s="6" t="s">
        <v>105</v>
      </c>
      <c r="E1281" s="6" t="s">
        <v>82</v>
      </c>
      <c r="F1281" s="6">
        <v>100</v>
      </c>
      <c r="G1281" s="6" t="s">
        <v>658</v>
      </c>
      <c r="H1281" s="6" t="s">
        <v>659</v>
      </c>
      <c r="I1281" s="6" t="s">
        <v>375</v>
      </c>
      <c r="J1281" s="6" t="s">
        <v>17</v>
      </c>
      <c r="K1281" s="7">
        <v>5.59</v>
      </c>
    </row>
    <row r="1282" spans="1:11" s="4" customFormat="1" ht="10.199999999999999" x14ac:dyDescent="0.2">
      <c r="A1282" s="6" t="str">
        <f>"0010070100"</f>
        <v>0010070100</v>
      </c>
      <c r="B1282" s="6" t="str">
        <f>"154530"</f>
        <v>154530</v>
      </c>
      <c r="C1282" s="6" t="s">
        <v>660</v>
      </c>
      <c r="D1282" s="6" t="s">
        <v>105</v>
      </c>
      <c r="E1282" s="6" t="s">
        <v>82</v>
      </c>
      <c r="F1282" s="6">
        <v>100</v>
      </c>
      <c r="G1282" s="6" t="s">
        <v>658</v>
      </c>
      <c r="H1282" s="6" t="s">
        <v>659</v>
      </c>
      <c r="I1282" s="6" t="s">
        <v>114</v>
      </c>
      <c r="J1282" s="6" t="s">
        <v>20</v>
      </c>
      <c r="K1282" s="7">
        <v>3.35</v>
      </c>
    </row>
    <row r="1283" spans="1:11" s="4" customFormat="1" ht="10.199999999999999" x14ac:dyDescent="0.2">
      <c r="A1283" s="6" t="str">
        <f>"0010070100"</f>
        <v>0010070100</v>
      </c>
      <c r="B1283" s="6" t="str">
        <f>"183858"</f>
        <v>183858</v>
      </c>
      <c r="C1283" s="6" t="s">
        <v>661</v>
      </c>
      <c r="D1283" s="6" t="s">
        <v>105</v>
      </c>
      <c r="E1283" s="6" t="s">
        <v>82</v>
      </c>
      <c r="F1283" s="6">
        <v>100</v>
      </c>
      <c r="G1283" s="6" t="s">
        <v>658</v>
      </c>
      <c r="H1283" s="6" t="s">
        <v>659</v>
      </c>
      <c r="I1283" s="6" t="s">
        <v>211</v>
      </c>
      <c r="J1283" s="6" t="s">
        <v>20</v>
      </c>
      <c r="K1283" s="7">
        <v>3.35</v>
      </c>
    </row>
    <row r="1284" spans="1:11" s="4" customFormat="1" ht="10.199999999999999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7"/>
    </row>
    <row r="1285" spans="1:11" s="4" customFormat="1" ht="10.199999999999999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7"/>
    </row>
    <row r="1286" spans="1:11" s="4" customFormat="1" ht="10.199999999999999" x14ac:dyDescent="0.2">
      <c r="A1286" s="6" t="str">
        <f>"0012900020"</f>
        <v>0012900020</v>
      </c>
      <c r="B1286" s="6" t="str">
        <f>"012674"</f>
        <v>012674</v>
      </c>
      <c r="C1286" s="6" t="s">
        <v>662</v>
      </c>
      <c r="D1286" s="6" t="s">
        <v>96</v>
      </c>
      <c r="E1286" s="6" t="s">
        <v>135</v>
      </c>
      <c r="F1286" s="6">
        <v>20</v>
      </c>
      <c r="G1286" s="6" t="s">
        <v>663</v>
      </c>
      <c r="H1286" s="6" t="s">
        <v>664</v>
      </c>
      <c r="I1286" s="6" t="s">
        <v>375</v>
      </c>
      <c r="J1286" s="6" t="s">
        <v>17</v>
      </c>
      <c r="K1286" s="7">
        <v>2.11</v>
      </c>
    </row>
    <row r="1287" spans="1:11" s="4" customFormat="1" ht="10.199999999999999" x14ac:dyDescent="0.2">
      <c r="A1287" s="6" t="str">
        <f>"0012900020"</f>
        <v>0012900020</v>
      </c>
      <c r="B1287" s="6" t="str">
        <f>"047137"</f>
        <v>047137</v>
      </c>
      <c r="C1287" s="6" t="s">
        <v>665</v>
      </c>
      <c r="D1287" s="6" t="s">
        <v>96</v>
      </c>
      <c r="E1287" s="6" t="s">
        <v>135</v>
      </c>
      <c r="F1287" s="6">
        <v>20</v>
      </c>
      <c r="G1287" s="6" t="s">
        <v>663</v>
      </c>
      <c r="H1287" s="6" t="s">
        <v>664</v>
      </c>
      <c r="I1287" s="6" t="s">
        <v>28</v>
      </c>
      <c r="J1287" s="6" t="s">
        <v>20</v>
      </c>
      <c r="K1287" s="7">
        <v>1.27</v>
      </c>
    </row>
    <row r="1288" spans="1:11" s="4" customFormat="1" ht="10.199999999999999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7"/>
    </row>
    <row r="1289" spans="1:11" s="4" customFormat="1" ht="10.199999999999999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7"/>
    </row>
    <row r="1290" spans="1:11" s="4" customFormat="1" ht="10.199999999999999" x14ac:dyDescent="0.2">
      <c r="A1290" s="6" t="str">
        <f>"0012900100"</f>
        <v>0012900100</v>
      </c>
      <c r="B1290" s="6" t="str">
        <f>"012823"</f>
        <v>012823</v>
      </c>
      <c r="C1290" s="6" t="s">
        <v>662</v>
      </c>
      <c r="D1290" s="6" t="s">
        <v>96</v>
      </c>
      <c r="E1290" s="6" t="s">
        <v>135</v>
      </c>
      <c r="F1290" s="6">
        <v>100</v>
      </c>
      <c r="G1290" s="6" t="s">
        <v>663</v>
      </c>
      <c r="H1290" s="6" t="s">
        <v>664</v>
      </c>
      <c r="I1290" s="6" t="s">
        <v>375</v>
      </c>
      <c r="J1290" s="6" t="s">
        <v>17</v>
      </c>
      <c r="K1290" s="7">
        <v>8.4499999999999993</v>
      </c>
    </row>
    <row r="1291" spans="1:11" s="4" customFormat="1" ht="10.199999999999999" x14ac:dyDescent="0.2">
      <c r="A1291" s="6" t="str">
        <f>"0012900100"</f>
        <v>0012900100</v>
      </c>
      <c r="B1291" s="6" t="str">
        <f>"057677"</f>
        <v>057677</v>
      </c>
      <c r="C1291" s="6" t="s">
        <v>665</v>
      </c>
      <c r="D1291" s="6" t="s">
        <v>96</v>
      </c>
      <c r="E1291" s="6" t="s">
        <v>135</v>
      </c>
      <c r="F1291" s="6">
        <v>100</v>
      </c>
      <c r="G1291" s="6" t="s">
        <v>663</v>
      </c>
      <c r="H1291" s="6" t="s">
        <v>664</v>
      </c>
      <c r="I1291" s="6" t="s">
        <v>28</v>
      </c>
      <c r="J1291" s="6" t="s">
        <v>20</v>
      </c>
      <c r="K1291" s="7">
        <v>5.07</v>
      </c>
    </row>
    <row r="1292" spans="1:11" s="4" customFormat="1" ht="10.199999999999999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7"/>
    </row>
    <row r="1293" spans="1:11" s="4" customFormat="1" ht="10.199999999999999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7"/>
    </row>
    <row r="1294" spans="1:11" s="4" customFormat="1" ht="10.199999999999999" x14ac:dyDescent="0.2">
      <c r="A1294" s="6" t="str">
        <f>"0012910020"</f>
        <v>0012910020</v>
      </c>
      <c r="B1294" s="6" t="str">
        <f>"012906"</f>
        <v>012906</v>
      </c>
      <c r="C1294" s="6" t="s">
        <v>662</v>
      </c>
      <c r="D1294" s="6" t="s">
        <v>105</v>
      </c>
      <c r="E1294" s="6" t="s">
        <v>135</v>
      </c>
      <c r="F1294" s="6">
        <v>20</v>
      </c>
      <c r="G1294" s="6" t="s">
        <v>663</v>
      </c>
      <c r="H1294" s="6" t="s">
        <v>664</v>
      </c>
      <c r="I1294" s="6" t="s">
        <v>375</v>
      </c>
      <c r="J1294" s="6" t="s">
        <v>17</v>
      </c>
      <c r="K1294" s="7">
        <v>3.81</v>
      </c>
    </row>
    <row r="1295" spans="1:11" s="4" customFormat="1" ht="10.199999999999999" x14ac:dyDescent="0.2">
      <c r="A1295" s="6" t="str">
        <f>"0012910020"</f>
        <v>0012910020</v>
      </c>
      <c r="B1295" s="6" t="str">
        <f>"040019"</f>
        <v>040019</v>
      </c>
      <c r="C1295" s="6" t="s">
        <v>665</v>
      </c>
      <c r="D1295" s="6" t="s">
        <v>105</v>
      </c>
      <c r="E1295" s="6" t="s">
        <v>135</v>
      </c>
      <c r="F1295" s="6">
        <v>20</v>
      </c>
      <c r="G1295" s="6" t="s">
        <v>663</v>
      </c>
      <c r="H1295" s="6" t="s">
        <v>664</v>
      </c>
      <c r="I1295" s="6" t="s">
        <v>28</v>
      </c>
      <c r="J1295" s="6" t="s">
        <v>20</v>
      </c>
      <c r="K1295" s="7">
        <v>2.29</v>
      </c>
    </row>
    <row r="1296" spans="1:11" s="4" customFormat="1" ht="10.199999999999999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7"/>
    </row>
    <row r="1297" spans="1:11" s="4" customFormat="1" ht="10.199999999999999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7"/>
    </row>
    <row r="1298" spans="1:11" s="4" customFormat="1" ht="10.199999999999999" x14ac:dyDescent="0.2">
      <c r="A1298" s="6" t="str">
        <f>"0012910100"</f>
        <v>0012910100</v>
      </c>
      <c r="B1298" s="6" t="str">
        <f>"012922"</f>
        <v>012922</v>
      </c>
      <c r="C1298" s="6" t="s">
        <v>662</v>
      </c>
      <c r="D1298" s="6" t="s">
        <v>105</v>
      </c>
      <c r="E1298" s="6" t="s">
        <v>135</v>
      </c>
      <c r="F1298" s="6">
        <v>100</v>
      </c>
      <c r="G1298" s="6" t="s">
        <v>663</v>
      </c>
      <c r="H1298" s="6" t="s">
        <v>664</v>
      </c>
      <c r="I1298" s="6" t="s">
        <v>375</v>
      </c>
      <c r="J1298" s="6" t="s">
        <v>17</v>
      </c>
      <c r="K1298" s="7">
        <v>15.25</v>
      </c>
    </row>
    <row r="1299" spans="1:11" s="4" customFormat="1" ht="10.199999999999999" x14ac:dyDescent="0.2">
      <c r="A1299" s="6" t="str">
        <f>"0012910100"</f>
        <v>0012910100</v>
      </c>
      <c r="B1299" s="6" t="str">
        <f>"178740"</f>
        <v>178740</v>
      </c>
      <c r="C1299" s="6" t="s">
        <v>665</v>
      </c>
      <c r="D1299" s="6" t="s">
        <v>105</v>
      </c>
      <c r="E1299" s="6" t="s">
        <v>135</v>
      </c>
      <c r="F1299" s="6">
        <v>100</v>
      </c>
      <c r="G1299" s="6" t="s">
        <v>663</v>
      </c>
      <c r="H1299" s="6" t="s">
        <v>664</v>
      </c>
      <c r="I1299" s="6" t="s">
        <v>28</v>
      </c>
      <c r="J1299" s="6" t="s">
        <v>20</v>
      </c>
      <c r="K1299" s="7">
        <v>9.15</v>
      </c>
    </row>
    <row r="1300" spans="1:11" s="4" customFormat="1" ht="10.199999999999999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7"/>
    </row>
    <row r="1301" spans="1:11" s="4" customFormat="1" ht="10.199999999999999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7"/>
    </row>
    <row r="1302" spans="1:11" s="4" customFormat="1" ht="10.199999999999999" x14ac:dyDescent="0.2">
      <c r="A1302" s="6" t="str">
        <f>"0012920020"</f>
        <v>0012920020</v>
      </c>
      <c r="B1302" s="6" t="str">
        <f>"013110"</f>
        <v>013110</v>
      </c>
      <c r="C1302" s="6" t="s">
        <v>662</v>
      </c>
      <c r="D1302" s="6" t="s">
        <v>106</v>
      </c>
      <c r="E1302" s="6" t="s">
        <v>135</v>
      </c>
      <c r="F1302" s="6">
        <v>20</v>
      </c>
      <c r="G1302" s="6" t="s">
        <v>663</v>
      </c>
      <c r="H1302" s="6" t="s">
        <v>664</v>
      </c>
      <c r="I1302" s="6" t="s">
        <v>375</v>
      </c>
      <c r="J1302" s="6" t="s">
        <v>17</v>
      </c>
      <c r="K1302" s="7">
        <v>6.71</v>
      </c>
    </row>
    <row r="1303" spans="1:11" s="4" customFormat="1" ht="10.199999999999999" x14ac:dyDescent="0.2">
      <c r="A1303" s="6" t="str">
        <f>"0012920020"</f>
        <v>0012920020</v>
      </c>
      <c r="B1303" s="6" t="str">
        <f>"456059"</f>
        <v>456059</v>
      </c>
      <c r="C1303" s="6" t="s">
        <v>665</v>
      </c>
      <c r="D1303" s="6" t="s">
        <v>106</v>
      </c>
      <c r="E1303" s="6" t="s">
        <v>135</v>
      </c>
      <c r="F1303" s="6">
        <v>20</v>
      </c>
      <c r="G1303" s="6" t="s">
        <v>663</v>
      </c>
      <c r="H1303" s="6" t="s">
        <v>664</v>
      </c>
      <c r="I1303" s="6" t="s">
        <v>28</v>
      </c>
      <c r="J1303" s="6" t="s">
        <v>20</v>
      </c>
      <c r="K1303" s="7">
        <v>4.03</v>
      </c>
    </row>
    <row r="1304" spans="1:11" s="4" customFormat="1" ht="10.199999999999999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7"/>
    </row>
    <row r="1305" spans="1:11" s="4" customFormat="1" ht="10.199999999999999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7"/>
    </row>
    <row r="1306" spans="1:11" s="4" customFormat="1" ht="10.199999999999999" x14ac:dyDescent="0.2">
      <c r="A1306" s="6" t="str">
        <f>"0012920100"</f>
        <v>0012920100</v>
      </c>
      <c r="B1306" s="6" t="str">
        <f>"013292"</f>
        <v>013292</v>
      </c>
      <c r="C1306" s="6" t="s">
        <v>662</v>
      </c>
      <c r="D1306" s="6" t="s">
        <v>106</v>
      </c>
      <c r="E1306" s="6" t="s">
        <v>135</v>
      </c>
      <c r="F1306" s="6">
        <v>100</v>
      </c>
      <c r="G1306" s="6" t="s">
        <v>663</v>
      </c>
      <c r="H1306" s="6" t="s">
        <v>664</v>
      </c>
      <c r="I1306" s="6" t="s">
        <v>375</v>
      </c>
      <c r="J1306" s="6" t="s">
        <v>17</v>
      </c>
      <c r="K1306" s="7">
        <v>26.83</v>
      </c>
    </row>
    <row r="1307" spans="1:11" s="4" customFormat="1" ht="10.199999999999999" x14ac:dyDescent="0.2">
      <c r="A1307" s="6" t="str">
        <f>"0012920100"</f>
        <v>0012920100</v>
      </c>
      <c r="B1307" s="6" t="str">
        <f>"140589"</f>
        <v>140589</v>
      </c>
      <c r="C1307" s="6" t="s">
        <v>665</v>
      </c>
      <c r="D1307" s="6" t="s">
        <v>106</v>
      </c>
      <c r="E1307" s="6" t="s">
        <v>135</v>
      </c>
      <c r="F1307" s="6">
        <v>100</v>
      </c>
      <c r="G1307" s="6" t="s">
        <v>663</v>
      </c>
      <c r="H1307" s="6" t="s">
        <v>664</v>
      </c>
      <c r="I1307" s="6" t="s">
        <v>28</v>
      </c>
      <c r="J1307" s="6" t="s">
        <v>20</v>
      </c>
      <c r="K1307" s="7">
        <v>16.100000000000001</v>
      </c>
    </row>
    <row r="1308" spans="1:11" s="4" customFormat="1" ht="10.199999999999999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7"/>
    </row>
    <row r="1309" spans="1:11" s="4" customFormat="1" ht="10.199999999999999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7"/>
    </row>
    <row r="1310" spans="1:11" s="4" customFormat="1" ht="10.199999999999999" x14ac:dyDescent="0.2">
      <c r="A1310" s="6" t="str">
        <f t="shared" ref="A1310:A1320" si="38">"0011240100"</f>
        <v>0011240100</v>
      </c>
      <c r="B1310" s="6" t="str">
        <f>"005790"</f>
        <v>005790</v>
      </c>
      <c r="C1310" s="6" t="s">
        <v>666</v>
      </c>
      <c r="D1310" s="6" t="s">
        <v>174</v>
      </c>
      <c r="E1310" s="6" t="s">
        <v>13</v>
      </c>
      <c r="F1310" s="6">
        <v>100</v>
      </c>
      <c r="G1310" s="6" t="s">
        <v>667</v>
      </c>
      <c r="H1310" s="6" t="s">
        <v>668</v>
      </c>
      <c r="I1310" s="6" t="s">
        <v>669</v>
      </c>
      <c r="J1310" s="6" t="s">
        <v>17</v>
      </c>
      <c r="K1310" s="7">
        <v>28.49</v>
      </c>
    </row>
    <row r="1311" spans="1:11" s="4" customFormat="1" ht="10.199999999999999" x14ac:dyDescent="0.2">
      <c r="A1311" s="6" t="str">
        <f t="shared" si="38"/>
        <v>0011240100</v>
      </c>
      <c r="B1311" s="6" t="str">
        <f>"049154"</f>
        <v>049154</v>
      </c>
      <c r="C1311" s="6" t="s">
        <v>670</v>
      </c>
      <c r="D1311" s="6" t="s">
        <v>174</v>
      </c>
      <c r="E1311" s="6" t="s">
        <v>13</v>
      </c>
      <c r="F1311" s="6">
        <v>100</v>
      </c>
      <c r="G1311" s="6" t="s">
        <v>667</v>
      </c>
      <c r="H1311" s="6" t="s">
        <v>668</v>
      </c>
      <c r="I1311" s="6" t="s">
        <v>35</v>
      </c>
      <c r="J1311" s="6" t="s">
        <v>20</v>
      </c>
      <c r="K1311" s="7">
        <v>17.09</v>
      </c>
    </row>
    <row r="1312" spans="1:11" s="4" customFormat="1" ht="10.199999999999999" x14ac:dyDescent="0.2">
      <c r="A1312" s="6" t="str">
        <f t="shared" si="38"/>
        <v>0011240100</v>
      </c>
      <c r="B1312" s="6" t="str">
        <f>"057527"</f>
        <v>057527</v>
      </c>
      <c r="C1312" s="6" t="s">
        <v>671</v>
      </c>
      <c r="D1312" s="6" t="s">
        <v>174</v>
      </c>
      <c r="E1312" s="6" t="s">
        <v>13</v>
      </c>
      <c r="F1312" s="6">
        <v>100</v>
      </c>
      <c r="G1312" s="6" t="s">
        <v>667</v>
      </c>
      <c r="H1312" s="6" t="s">
        <v>668</v>
      </c>
      <c r="I1312" s="6" t="s">
        <v>274</v>
      </c>
      <c r="J1312" s="6" t="s">
        <v>20</v>
      </c>
      <c r="K1312" s="7">
        <v>17.09</v>
      </c>
    </row>
    <row r="1313" spans="1:11" s="4" customFormat="1" ht="10.199999999999999" x14ac:dyDescent="0.2">
      <c r="A1313" s="6" t="str">
        <f t="shared" si="38"/>
        <v>0011240100</v>
      </c>
      <c r="B1313" s="6" t="str">
        <f>"081148"</f>
        <v>081148</v>
      </c>
      <c r="C1313" s="6" t="s">
        <v>670</v>
      </c>
      <c r="D1313" s="6" t="s">
        <v>174</v>
      </c>
      <c r="E1313" s="6" t="s">
        <v>13</v>
      </c>
      <c r="F1313" s="6">
        <v>100</v>
      </c>
      <c r="G1313" s="6" t="s">
        <v>667</v>
      </c>
      <c r="H1313" s="6" t="s">
        <v>668</v>
      </c>
      <c r="I1313" s="6" t="s">
        <v>35</v>
      </c>
      <c r="J1313" s="6" t="s">
        <v>20</v>
      </c>
      <c r="K1313" s="7">
        <v>17.09</v>
      </c>
    </row>
    <row r="1314" spans="1:11" s="4" customFormat="1" ht="10.199999999999999" x14ac:dyDescent="0.2">
      <c r="A1314" s="6" t="str">
        <f t="shared" si="38"/>
        <v>0011240100</v>
      </c>
      <c r="B1314" s="6" t="str">
        <f>"110362"</f>
        <v>110362</v>
      </c>
      <c r="C1314" s="6" t="s">
        <v>672</v>
      </c>
      <c r="D1314" s="6" t="s">
        <v>174</v>
      </c>
      <c r="E1314" s="6" t="s">
        <v>13</v>
      </c>
      <c r="F1314" s="6">
        <v>100</v>
      </c>
      <c r="G1314" s="6" t="s">
        <v>667</v>
      </c>
      <c r="H1314" s="6" t="s">
        <v>668</v>
      </c>
      <c r="I1314" s="6" t="s">
        <v>28</v>
      </c>
      <c r="J1314" s="6" t="s">
        <v>20</v>
      </c>
      <c r="K1314" s="7">
        <v>17.09</v>
      </c>
    </row>
    <row r="1315" spans="1:11" s="4" customFormat="1" ht="10.199999999999999" x14ac:dyDescent="0.2">
      <c r="A1315" s="6" t="str">
        <f t="shared" si="38"/>
        <v>0011240100</v>
      </c>
      <c r="B1315" s="6" t="str">
        <f>"177953"</f>
        <v>177953</v>
      </c>
      <c r="C1315" s="6" t="s">
        <v>673</v>
      </c>
      <c r="D1315" s="6" t="s">
        <v>174</v>
      </c>
      <c r="E1315" s="6" t="s">
        <v>13</v>
      </c>
      <c r="F1315" s="6">
        <v>100</v>
      </c>
      <c r="G1315" s="6" t="s">
        <v>667</v>
      </c>
      <c r="H1315" s="6" t="s">
        <v>668</v>
      </c>
      <c r="I1315" s="6" t="s">
        <v>211</v>
      </c>
      <c r="J1315" s="6" t="s">
        <v>20</v>
      </c>
      <c r="K1315" s="7">
        <v>17.09</v>
      </c>
    </row>
    <row r="1316" spans="1:11" s="4" customFormat="1" ht="10.199999999999999" x14ac:dyDescent="0.2">
      <c r="A1316" s="6" t="str">
        <f t="shared" si="38"/>
        <v>0011240100</v>
      </c>
      <c r="B1316" s="6" t="str">
        <f>"190407"</f>
        <v>190407</v>
      </c>
      <c r="C1316" s="6" t="s">
        <v>674</v>
      </c>
      <c r="D1316" s="6" t="s">
        <v>174</v>
      </c>
      <c r="E1316" s="6" t="s">
        <v>13</v>
      </c>
      <c r="F1316" s="6">
        <v>100</v>
      </c>
      <c r="G1316" s="6" t="s">
        <v>667</v>
      </c>
      <c r="H1316" s="6" t="s">
        <v>668</v>
      </c>
      <c r="I1316" s="6" t="s">
        <v>669</v>
      </c>
      <c r="J1316" s="6" t="s">
        <v>20</v>
      </c>
      <c r="K1316" s="7">
        <v>17.09</v>
      </c>
    </row>
    <row r="1317" spans="1:11" s="4" customFormat="1" ht="10.199999999999999" x14ac:dyDescent="0.2">
      <c r="A1317" s="6" t="str">
        <f t="shared" si="38"/>
        <v>0011240100</v>
      </c>
      <c r="B1317" s="6" t="str">
        <f>"398642"</f>
        <v>398642</v>
      </c>
      <c r="C1317" s="6" t="s">
        <v>673</v>
      </c>
      <c r="D1317" s="6" t="s">
        <v>174</v>
      </c>
      <c r="E1317" s="6" t="s">
        <v>13</v>
      </c>
      <c r="F1317" s="6">
        <v>98</v>
      </c>
      <c r="G1317" s="6" t="s">
        <v>667</v>
      </c>
      <c r="H1317" s="6" t="s">
        <v>668</v>
      </c>
      <c r="I1317" s="6" t="s">
        <v>211</v>
      </c>
      <c r="J1317" s="6" t="s">
        <v>20</v>
      </c>
      <c r="K1317" s="7">
        <v>16.75</v>
      </c>
    </row>
    <row r="1318" spans="1:11" s="4" customFormat="1" ht="10.199999999999999" x14ac:dyDescent="0.2">
      <c r="A1318" s="6" t="str">
        <f t="shared" si="38"/>
        <v>0011240100</v>
      </c>
      <c r="B1318" s="6" t="str">
        <f>"431766"</f>
        <v>431766</v>
      </c>
      <c r="C1318" s="6" t="s">
        <v>675</v>
      </c>
      <c r="D1318" s="6" t="s">
        <v>174</v>
      </c>
      <c r="E1318" s="6" t="s">
        <v>13</v>
      </c>
      <c r="F1318" s="6">
        <v>98</v>
      </c>
      <c r="G1318" s="6" t="s">
        <v>667</v>
      </c>
      <c r="H1318" s="6" t="s">
        <v>668</v>
      </c>
      <c r="I1318" s="6" t="s">
        <v>37</v>
      </c>
      <c r="J1318" s="6" t="s">
        <v>20</v>
      </c>
      <c r="K1318" s="7">
        <v>16.75</v>
      </c>
    </row>
    <row r="1319" spans="1:11" s="4" customFormat="1" ht="10.199999999999999" x14ac:dyDescent="0.2">
      <c r="A1319" s="6" t="str">
        <f t="shared" si="38"/>
        <v>0011240100</v>
      </c>
      <c r="B1319" s="6" t="str">
        <f>"435860"</f>
        <v>435860</v>
      </c>
      <c r="C1319" s="6" t="s">
        <v>676</v>
      </c>
      <c r="D1319" s="6" t="s">
        <v>174</v>
      </c>
      <c r="E1319" s="6" t="s">
        <v>13</v>
      </c>
      <c r="F1319" s="6">
        <v>98</v>
      </c>
      <c r="G1319" s="6" t="s">
        <v>667</v>
      </c>
      <c r="H1319" s="6" t="s">
        <v>668</v>
      </c>
      <c r="I1319" s="6" t="s">
        <v>45</v>
      </c>
      <c r="J1319" s="6" t="s">
        <v>20</v>
      </c>
      <c r="K1319" s="7">
        <v>16.75</v>
      </c>
    </row>
    <row r="1320" spans="1:11" s="4" customFormat="1" ht="10.199999999999999" x14ac:dyDescent="0.2">
      <c r="A1320" s="6" t="str">
        <f t="shared" si="38"/>
        <v>0011240100</v>
      </c>
      <c r="B1320" s="6" t="str">
        <f>"538365"</f>
        <v>538365</v>
      </c>
      <c r="C1320" s="6" t="s">
        <v>675</v>
      </c>
      <c r="D1320" s="6" t="s">
        <v>174</v>
      </c>
      <c r="E1320" s="6" t="s">
        <v>68</v>
      </c>
      <c r="F1320" s="6">
        <v>98</v>
      </c>
      <c r="G1320" s="6" t="s">
        <v>667</v>
      </c>
      <c r="H1320" s="6" t="s">
        <v>668</v>
      </c>
      <c r="I1320" s="6" t="s">
        <v>37</v>
      </c>
      <c r="J1320" s="6" t="s">
        <v>20</v>
      </c>
      <c r="K1320" s="7">
        <v>16.75</v>
      </c>
    </row>
    <row r="1321" spans="1:11" s="4" customFormat="1" ht="10.199999999999999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7"/>
    </row>
    <row r="1322" spans="1:11" s="4" customFormat="1" ht="10.199999999999999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7"/>
    </row>
    <row r="1323" spans="1:11" s="4" customFormat="1" ht="10.199999999999999" x14ac:dyDescent="0.2">
      <c r="A1323" s="6" t="str">
        <f t="shared" ref="A1323:A1334" si="39">"0011250030"</f>
        <v>0011250030</v>
      </c>
      <c r="B1323" s="6" t="str">
        <f>"005812"</f>
        <v>005812</v>
      </c>
      <c r="C1323" s="6" t="s">
        <v>666</v>
      </c>
      <c r="D1323" s="6" t="s">
        <v>39</v>
      </c>
      <c r="E1323" s="6" t="s">
        <v>13</v>
      </c>
      <c r="F1323" s="6">
        <v>28</v>
      </c>
      <c r="G1323" s="6" t="s">
        <v>667</v>
      </c>
      <c r="H1323" s="6" t="s">
        <v>668</v>
      </c>
      <c r="I1323" s="6" t="s">
        <v>669</v>
      </c>
      <c r="J1323" s="6" t="s">
        <v>17</v>
      </c>
      <c r="K1323" s="7">
        <v>17.440000000000001</v>
      </c>
    </row>
    <row r="1324" spans="1:11" s="4" customFormat="1" ht="10.199999999999999" x14ac:dyDescent="0.2">
      <c r="A1324" s="6" t="str">
        <f t="shared" si="39"/>
        <v>0011250030</v>
      </c>
      <c r="B1324" s="6" t="str">
        <f>"081159"</f>
        <v>081159</v>
      </c>
      <c r="C1324" s="6" t="s">
        <v>670</v>
      </c>
      <c r="D1324" s="6" t="s">
        <v>39</v>
      </c>
      <c r="E1324" s="6" t="s">
        <v>13</v>
      </c>
      <c r="F1324" s="6">
        <v>30</v>
      </c>
      <c r="G1324" s="6" t="s">
        <v>667</v>
      </c>
      <c r="H1324" s="6" t="s">
        <v>668</v>
      </c>
      <c r="I1324" s="6" t="s">
        <v>35</v>
      </c>
      <c r="J1324" s="6" t="s">
        <v>20</v>
      </c>
      <c r="K1324" s="7">
        <v>11.21</v>
      </c>
    </row>
    <row r="1325" spans="1:11" s="4" customFormat="1" ht="10.199999999999999" x14ac:dyDescent="0.2">
      <c r="A1325" s="6" t="str">
        <f t="shared" si="39"/>
        <v>0011250030</v>
      </c>
      <c r="B1325" s="6" t="str">
        <f>"500069"</f>
        <v>500069</v>
      </c>
      <c r="C1325" s="6" t="s">
        <v>672</v>
      </c>
      <c r="D1325" s="6" t="s">
        <v>39</v>
      </c>
      <c r="E1325" s="6" t="s">
        <v>13</v>
      </c>
      <c r="F1325" s="6">
        <v>30</v>
      </c>
      <c r="G1325" s="6" t="s">
        <v>667</v>
      </c>
      <c r="H1325" s="6" t="s">
        <v>668</v>
      </c>
      <c r="I1325" s="6" t="s">
        <v>28</v>
      </c>
      <c r="J1325" s="6" t="s">
        <v>20</v>
      </c>
      <c r="K1325" s="7">
        <v>11.21</v>
      </c>
    </row>
    <row r="1326" spans="1:11" s="4" customFormat="1" ht="10.199999999999999" x14ac:dyDescent="0.2">
      <c r="A1326" s="6" t="str">
        <f t="shared" si="39"/>
        <v>0011250030</v>
      </c>
      <c r="B1326" s="6" t="str">
        <f>"035454"</f>
        <v>035454</v>
      </c>
      <c r="C1326" s="6" t="s">
        <v>675</v>
      </c>
      <c r="D1326" s="6" t="s">
        <v>39</v>
      </c>
      <c r="E1326" s="6" t="s">
        <v>68</v>
      </c>
      <c r="F1326" s="6">
        <v>28</v>
      </c>
      <c r="G1326" s="6" t="s">
        <v>667</v>
      </c>
      <c r="H1326" s="6" t="s">
        <v>668</v>
      </c>
      <c r="I1326" s="6" t="s">
        <v>37</v>
      </c>
      <c r="J1326" s="6" t="s">
        <v>20</v>
      </c>
      <c r="K1326" s="7">
        <v>10.68</v>
      </c>
    </row>
    <row r="1327" spans="1:11" s="4" customFormat="1" ht="10.199999999999999" x14ac:dyDescent="0.2">
      <c r="A1327" s="6" t="str">
        <f t="shared" si="39"/>
        <v>0011250030</v>
      </c>
      <c r="B1327" s="6" t="str">
        <f>"038080"</f>
        <v>038080</v>
      </c>
      <c r="C1327" s="6" t="s">
        <v>671</v>
      </c>
      <c r="D1327" s="6" t="s">
        <v>39</v>
      </c>
      <c r="E1327" s="6" t="s">
        <v>13</v>
      </c>
      <c r="F1327" s="6">
        <v>28</v>
      </c>
      <c r="G1327" s="6" t="s">
        <v>667</v>
      </c>
      <c r="H1327" s="6" t="s">
        <v>668</v>
      </c>
      <c r="I1327" s="6" t="s">
        <v>274</v>
      </c>
      <c r="J1327" s="6" t="s">
        <v>20</v>
      </c>
      <c r="K1327" s="7">
        <v>10.68</v>
      </c>
    </row>
    <row r="1328" spans="1:11" s="4" customFormat="1" ht="20.399999999999999" x14ac:dyDescent="0.2">
      <c r="A1328" s="6" t="str">
        <f t="shared" si="39"/>
        <v>0011250030</v>
      </c>
      <c r="B1328" s="6" t="str">
        <f>"049340"</f>
        <v>049340</v>
      </c>
      <c r="C1328" s="6" t="s">
        <v>673</v>
      </c>
      <c r="D1328" s="6" t="s">
        <v>39</v>
      </c>
      <c r="E1328" s="6" t="s">
        <v>68</v>
      </c>
      <c r="F1328" s="6">
        <v>28</v>
      </c>
      <c r="G1328" s="6" t="s">
        <v>667</v>
      </c>
      <c r="H1328" s="6" t="s">
        <v>668</v>
      </c>
      <c r="I1328" s="6" t="s">
        <v>124</v>
      </c>
      <c r="J1328" s="6" t="s">
        <v>20</v>
      </c>
      <c r="K1328" s="7">
        <v>10.68</v>
      </c>
    </row>
    <row r="1329" spans="1:11" s="4" customFormat="1" ht="10.199999999999999" x14ac:dyDescent="0.2">
      <c r="A1329" s="6" t="str">
        <f t="shared" si="39"/>
        <v>0011250030</v>
      </c>
      <c r="B1329" s="6" t="str">
        <f>"149573"</f>
        <v>149573</v>
      </c>
      <c r="C1329" s="6" t="s">
        <v>677</v>
      </c>
      <c r="D1329" s="6" t="s">
        <v>39</v>
      </c>
      <c r="E1329" s="6" t="s">
        <v>13</v>
      </c>
      <c r="F1329" s="6">
        <v>28</v>
      </c>
      <c r="G1329" s="6" t="s">
        <v>667</v>
      </c>
      <c r="H1329" s="6" t="s">
        <v>668</v>
      </c>
      <c r="I1329" s="6" t="s">
        <v>90</v>
      </c>
      <c r="J1329" s="6" t="s">
        <v>20</v>
      </c>
      <c r="K1329" s="7">
        <v>10.68</v>
      </c>
    </row>
    <row r="1330" spans="1:11" s="4" customFormat="1" ht="10.199999999999999" x14ac:dyDescent="0.2">
      <c r="A1330" s="6" t="str">
        <f t="shared" si="39"/>
        <v>0011250030</v>
      </c>
      <c r="B1330" s="6" t="str">
        <f>"386517"</f>
        <v>386517</v>
      </c>
      <c r="C1330" s="6" t="s">
        <v>673</v>
      </c>
      <c r="D1330" s="6" t="s">
        <v>39</v>
      </c>
      <c r="E1330" s="6" t="s">
        <v>13</v>
      </c>
      <c r="F1330" s="6">
        <v>28</v>
      </c>
      <c r="G1330" s="6" t="s">
        <v>667</v>
      </c>
      <c r="H1330" s="6" t="s">
        <v>668</v>
      </c>
      <c r="I1330" s="6" t="s">
        <v>211</v>
      </c>
      <c r="J1330" s="6" t="s">
        <v>20</v>
      </c>
      <c r="K1330" s="7">
        <v>10.68</v>
      </c>
    </row>
    <row r="1331" spans="1:11" s="4" customFormat="1" ht="10.199999999999999" x14ac:dyDescent="0.2">
      <c r="A1331" s="6" t="str">
        <f t="shared" si="39"/>
        <v>0011250030</v>
      </c>
      <c r="B1331" s="6" t="str">
        <f>"494693"</f>
        <v>494693</v>
      </c>
      <c r="C1331" s="6" t="s">
        <v>674</v>
      </c>
      <c r="D1331" s="6" t="s">
        <v>39</v>
      </c>
      <c r="E1331" s="6" t="s">
        <v>13</v>
      </c>
      <c r="F1331" s="6">
        <v>28</v>
      </c>
      <c r="G1331" s="6" t="s">
        <v>667</v>
      </c>
      <c r="H1331" s="6" t="s">
        <v>668</v>
      </c>
      <c r="I1331" s="6" t="s">
        <v>669</v>
      </c>
      <c r="J1331" s="6" t="s">
        <v>20</v>
      </c>
      <c r="K1331" s="7">
        <v>10.68</v>
      </c>
    </row>
    <row r="1332" spans="1:11" s="4" customFormat="1" ht="10.199999999999999" x14ac:dyDescent="0.2">
      <c r="A1332" s="6" t="str">
        <f t="shared" si="39"/>
        <v>0011250030</v>
      </c>
      <c r="B1332" s="6" t="str">
        <f>"530463"</f>
        <v>530463</v>
      </c>
      <c r="C1332" s="6" t="s">
        <v>675</v>
      </c>
      <c r="D1332" s="6" t="s">
        <v>39</v>
      </c>
      <c r="E1332" s="6" t="s">
        <v>13</v>
      </c>
      <c r="F1332" s="6">
        <v>28</v>
      </c>
      <c r="G1332" s="6" t="s">
        <v>667</v>
      </c>
      <c r="H1332" s="6" t="s">
        <v>668</v>
      </c>
      <c r="I1332" s="6" t="s">
        <v>37</v>
      </c>
      <c r="J1332" s="6" t="s">
        <v>20</v>
      </c>
      <c r="K1332" s="7">
        <v>10.68</v>
      </c>
    </row>
    <row r="1333" spans="1:11" s="4" customFormat="1" ht="10.199999999999999" x14ac:dyDescent="0.2">
      <c r="A1333" s="6" t="str">
        <f t="shared" si="39"/>
        <v>0011250030</v>
      </c>
      <c r="B1333" s="6" t="str">
        <f>"599236"</f>
        <v>599236</v>
      </c>
      <c r="C1333" s="6" t="s">
        <v>676</v>
      </c>
      <c r="D1333" s="6" t="s">
        <v>39</v>
      </c>
      <c r="E1333" s="6" t="s">
        <v>13</v>
      </c>
      <c r="F1333" s="6">
        <v>28</v>
      </c>
      <c r="G1333" s="6" t="s">
        <v>667</v>
      </c>
      <c r="H1333" s="6" t="s">
        <v>668</v>
      </c>
      <c r="I1333" s="6" t="s">
        <v>45</v>
      </c>
      <c r="J1333" s="6" t="s">
        <v>20</v>
      </c>
      <c r="K1333" s="7">
        <v>10.68</v>
      </c>
    </row>
    <row r="1334" spans="1:11" s="4" customFormat="1" ht="10.199999999999999" x14ac:dyDescent="0.2">
      <c r="A1334" s="6" t="str">
        <f t="shared" si="39"/>
        <v>0011250030</v>
      </c>
      <c r="B1334" s="6" t="str">
        <f>"134989"</f>
        <v>134989</v>
      </c>
      <c r="C1334" s="6" t="s">
        <v>678</v>
      </c>
      <c r="D1334" s="6" t="s">
        <v>39</v>
      </c>
      <c r="E1334" s="6" t="s">
        <v>13</v>
      </c>
      <c r="F1334" s="6">
        <v>28</v>
      </c>
      <c r="G1334" s="6" t="s">
        <v>667</v>
      </c>
      <c r="H1334" s="6" t="s">
        <v>668</v>
      </c>
      <c r="I1334" s="6" t="s">
        <v>409</v>
      </c>
      <c r="J1334" s="6" t="s">
        <v>20</v>
      </c>
      <c r="K1334" s="7">
        <v>10.46</v>
      </c>
    </row>
    <row r="1335" spans="1:11" s="4" customFormat="1" ht="10.199999999999999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7"/>
    </row>
    <row r="1336" spans="1:11" s="4" customFormat="1" ht="10.199999999999999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7"/>
    </row>
    <row r="1337" spans="1:11" s="4" customFormat="1" ht="10.199999999999999" x14ac:dyDescent="0.2">
      <c r="A1337" s="6" t="str">
        <f t="shared" ref="A1337:A1350" si="40">"0011250100"</f>
        <v>0011250100</v>
      </c>
      <c r="B1337" s="6" t="str">
        <f>"005845"</f>
        <v>005845</v>
      </c>
      <c r="C1337" s="6" t="s">
        <v>666</v>
      </c>
      <c r="D1337" s="6" t="s">
        <v>39</v>
      </c>
      <c r="E1337" s="6" t="s">
        <v>13</v>
      </c>
      <c r="F1337" s="6">
        <v>100</v>
      </c>
      <c r="G1337" s="6" t="s">
        <v>667</v>
      </c>
      <c r="H1337" s="6" t="s">
        <v>668</v>
      </c>
      <c r="I1337" s="6" t="s">
        <v>669</v>
      </c>
      <c r="J1337" s="6" t="s">
        <v>17</v>
      </c>
      <c r="K1337" s="7">
        <v>55.49</v>
      </c>
    </row>
    <row r="1338" spans="1:11" s="4" customFormat="1" ht="10.199999999999999" x14ac:dyDescent="0.2">
      <c r="A1338" s="6" t="str">
        <f t="shared" si="40"/>
        <v>0011250100</v>
      </c>
      <c r="B1338" s="6" t="str">
        <f>"155719"</f>
        <v>155719</v>
      </c>
      <c r="C1338" s="6" t="s">
        <v>676</v>
      </c>
      <c r="D1338" s="6" t="s">
        <v>39</v>
      </c>
      <c r="E1338" s="6" t="s">
        <v>13</v>
      </c>
      <c r="F1338" s="6">
        <v>98</v>
      </c>
      <c r="G1338" s="6" t="s">
        <v>667</v>
      </c>
      <c r="H1338" s="6" t="s">
        <v>668</v>
      </c>
      <c r="I1338" s="6" t="s">
        <v>45</v>
      </c>
      <c r="J1338" s="6" t="s">
        <v>20</v>
      </c>
      <c r="K1338" s="7">
        <v>33.68</v>
      </c>
    </row>
    <row r="1339" spans="1:11" s="4" customFormat="1" ht="10.199999999999999" x14ac:dyDescent="0.2">
      <c r="A1339" s="6" t="str">
        <f t="shared" si="40"/>
        <v>0011250100</v>
      </c>
      <c r="B1339" s="6" t="str">
        <f>"374131"</f>
        <v>374131</v>
      </c>
      <c r="C1339" s="6" t="s">
        <v>675</v>
      </c>
      <c r="D1339" s="6" t="s">
        <v>39</v>
      </c>
      <c r="E1339" s="6" t="s">
        <v>68</v>
      </c>
      <c r="F1339" s="6">
        <v>98</v>
      </c>
      <c r="G1339" s="6" t="s">
        <v>667</v>
      </c>
      <c r="H1339" s="6" t="s">
        <v>668</v>
      </c>
      <c r="I1339" s="6" t="s">
        <v>37</v>
      </c>
      <c r="J1339" s="6" t="s">
        <v>20</v>
      </c>
      <c r="K1339" s="7">
        <v>33.68</v>
      </c>
    </row>
    <row r="1340" spans="1:11" s="4" customFormat="1" ht="10.199999999999999" x14ac:dyDescent="0.2">
      <c r="A1340" s="6" t="str">
        <f t="shared" si="40"/>
        <v>0011250100</v>
      </c>
      <c r="B1340" s="6" t="str">
        <f>"467267"</f>
        <v>467267</v>
      </c>
      <c r="C1340" s="6" t="s">
        <v>677</v>
      </c>
      <c r="D1340" s="6" t="s">
        <v>39</v>
      </c>
      <c r="E1340" s="6" t="s">
        <v>13</v>
      </c>
      <c r="F1340" s="6">
        <v>98</v>
      </c>
      <c r="G1340" s="6" t="s">
        <v>667</v>
      </c>
      <c r="H1340" s="6" t="s">
        <v>668</v>
      </c>
      <c r="I1340" s="6" t="s">
        <v>90</v>
      </c>
      <c r="J1340" s="6" t="s">
        <v>20</v>
      </c>
      <c r="K1340" s="7">
        <v>33.68</v>
      </c>
    </row>
    <row r="1341" spans="1:11" s="4" customFormat="1" ht="10.199999999999999" x14ac:dyDescent="0.2">
      <c r="A1341" s="6" t="str">
        <f t="shared" si="40"/>
        <v>0011250100</v>
      </c>
      <c r="B1341" s="6" t="str">
        <f>"469291"</f>
        <v>469291</v>
      </c>
      <c r="C1341" s="6" t="s">
        <v>673</v>
      </c>
      <c r="D1341" s="6" t="s">
        <v>39</v>
      </c>
      <c r="E1341" s="6" t="s">
        <v>13</v>
      </c>
      <c r="F1341" s="6">
        <v>98</v>
      </c>
      <c r="G1341" s="6" t="s">
        <v>667</v>
      </c>
      <c r="H1341" s="6" t="s">
        <v>668</v>
      </c>
      <c r="I1341" s="6" t="s">
        <v>211</v>
      </c>
      <c r="J1341" s="6" t="s">
        <v>20</v>
      </c>
      <c r="K1341" s="7">
        <v>33.68</v>
      </c>
    </row>
    <row r="1342" spans="1:11" s="4" customFormat="1" ht="10.199999999999999" x14ac:dyDescent="0.2">
      <c r="A1342" s="6" t="str">
        <f t="shared" si="40"/>
        <v>0011250100</v>
      </c>
      <c r="B1342" s="6" t="str">
        <f>"510513"</f>
        <v>510513</v>
      </c>
      <c r="C1342" s="6" t="s">
        <v>675</v>
      </c>
      <c r="D1342" s="6" t="s">
        <v>39</v>
      </c>
      <c r="E1342" s="6" t="s">
        <v>13</v>
      </c>
      <c r="F1342" s="6">
        <v>98</v>
      </c>
      <c r="G1342" s="6" t="s">
        <v>667</v>
      </c>
      <c r="H1342" s="6" t="s">
        <v>668</v>
      </c>
      <c r="I1342" s="6" t="s">
        <v>37</v>
      </c>
      <c r="J1342" s="6" t="s">
        <v>20</v>
      </c>
      <c r="K1342" s="7">
        <v>33.68</v>
      </c>
    </row>
    <row r="1343" spans="1:11" s="4" customFormat="1" ht="20.399999999999999" x14ac:dyDescent="0.2">
      <c r="A1343" s="6" t="str">
        <f t="shared" si="40"/>
        <v>0011250100</v>
      </c>
      <c r="B1343" s="6" t="str">
        <f>"584913"</f>
        <v>584913</v>
      </c>
      <c r="C1343" s="6" t="s">
        <v>673</v>
      </c>
      <c r="D1343" s="6" t="s">
        <v>39</v>
      </c>
      <c r="E1343" s="6" t="s">
        <v>68</v>
      </c>
      <c r="F1343" s="6">
        <v>98</v>
      </c>
      <c r="G1343" s="6" t="s">
        <v>667</v>
      </c>
      <c r="H1343" s="6" t="s">
        <v>668</v>
      </c>
      <c r="I1343" s="6" t="s">
        <v>124</v>
      </c>
      <c r="J1343" s="6" t="s">
        <v>20</v>
      </c>
      <c r="K1343" s="7">
        <v>33.68</v>
      </c>
    </row>
    <row r="1344" spans="1:11" s="4" customFormat="1" ht="10.199999999999999" x14ac:dyDescent="0.2">
      <c r="A1344" s="6" t="str">
        <f t="shared" si="40"/>
        <v>0011250100</v>
      </c>
      <c r="B1344" s="6" t="str">
        <f>"081183"</f>
        <v>081183</v>
      </c>
      <c r="C1344" s="6" t="s">
        <v>670</v>
      </c>
      <c r="D1344" s="6" t="s">
        <v>39</v>
      </c>
      <c r="E1344" s="6" t="s">
        <v>13</v>
      </c>
      <c r="F1344" s="6">
        <v>100</v>
      </c>
      <c r="G1344" s="6" t="s">
        <v>667</v>
      </c>
      <c r="H1344" s="6" t="s">
        <v>668</v>
      </c>
      <c r="I1344" s="6" t="s">
        <v>35</v>
      </c>
      <c r="J1344" s="6" t="s">
        <v>20</v>
      </c>
      <c r="K1344" s="7">
        <v>33.29</v>
      </c>
    </row>
    <row r="1345" spans="1:11" s="4" customFormat="1" ht="10.199999999999999" x14ac:dyDescent="0.2">
      <c r="A1345" s="6" t="str">
        <f t="shared" si="40"/>
        <v>0011250100</v>
      </c>
      <c r="B1345" s="6" t="str">
        <f>"173076"</f>
        <v>173076</v>
      </c>
      <c r="C1345" s="6" t="s">
        <v>674</v>
      </c>
      <c r="D1345" s="6" t="s">
        <v>39</v>
      </c>
      <c r="E1345" s="6" t="s">
        <v>13</v>
      </c>
      <c r="F1345" s="6">
        <v>100</v>
      </c>
      <c r="G1345" s="6" t="s">
        <v>667</v>
      </c>
      <c r="H1345" s="6" t="s">
        <v>668</v>
      </c>
      <c r="I1345" s="6" t="s">
        <v>669</v>
      </c>
      <c r="J1345" s="6" t="s">
        <v>20</v>
      </c>
      <c r="K1345" s="7">
        <v>33.29</v>
      </c>
    </row>
    <row r="1346" spans="1:11" s="4" customFormat="1" ht="10.199999999999999" x14ac:dyDescent="0.2">
      <c r="A1346" s="6" t="str">
        <f t="shared" si="40"/>
        <v>0011250100</v>
      </c>
      <c r="B1346" s="6" t="str">
        <f>"193647"</f>
        <v>193647</v>
      </c>
      <c r="C1346" s="6" t="s">
        <v>672</v>
      </c>
      <c r="D1346" s="6" t="s">
        <v>39</v>
      </c>
      <c r="E1346" s="6" t="s">
        <v>13</v>
      </c>
      <c r="F1346" s="6">
        <v>100</v>
      </c>
      <c r="G1346" s="6" t="s">
        <v>667</v>
      </c>
      <c r="H1346" s="6" t="s">
        <v>668</v>
      </c>
      <c r="I1346" s="6" t="s">
        <v>28</v>
      </c>
      <c r="J1346" s="6" t="s">
        <v>20</v>
      </c>
      <c r="K1346" s="7">
        <v>33.29</v>
      </c>
    </row>
    <row r="1347" spans="1:11" s="4" customFormat="1" ht="10.199999999999999" x14ac:dyDescent="0.2">
      <c r="A1347" s="6" t="str">
        <f t="shared" si="40"/>
        <v>0011250100</v>
      </c>
      <c r="B1347" s="6" t="str">
        <f>"373005"</f>
        <v>373005</v>
      </c>
      <c r="C1347" s="6" t="s">
        <v>671</v>
      </c>
      <c r="D1347" s="6" t="s">
        <v>39</v>
      </c>
      <c r="E1347" s="6" t="s">
        <v>13</v>
      </c>
      <c r="F1347" s="6">
        <v>100</v>
      </c>
      <c r="G1347" s="6" t="s">
        <v>667</v>
      </c>
      <c r="H1347" s="6" t="s">
        <v>668</v>
      </c>
      <c r="I1347" s="6" t="s">
        <v>274</v>
      </c>
      <c r="J1347" s="6" t="s">
        <v>20</v>
      </c>
      <c r="K1347" s="7">
        <v>33.29</v>
      </c>
    </row>
    <row r="1348" spans="1:11" s="4" customFormat="1" ht="10.199999999999999" x14ac:dyDescent="0.2">
      <c r="A1348" s="6" t="str">
        <f t="shared" si="40"/>
        <v>0011250100</v>
      </c>
      <c r="B1348" s="6" t="str">
        <f>"508939"</f>
        <v>508939</v>
      </c>
      <c r="C1348" s="6" t="s">
        <v>673</v>
      </c>
      <c r="D1348" s="6" t="s">
        <v>39</v>
      </c>
      <c r="E1348" s="6" t="s">
        <v>13</v>
      </c>
      <c r="F1348" s="6">
        <v>100</v>
      </c>
      <c r="G1348" s="6" t="s">
        <v>667</v>
      </c>
      <c r="H1348" s="6" t="s">
        <v>668</v>
      </c>
      <c r="I1348" s="6" t="s">
        <v>211</v>
      </c>
      <c r="J1348" s="6" t="s">
        <v>20</v>
      </c>
      <c r="K1348" s="7">
        <v>33.29</v>
      </c>
    </row>
    <row r="1349" spans="1:11" s="4" customFormat="1" ht="10.199999999999999" x14ac:dyDescent="0.2">
      <c r="A1349" s="6" t="str">
        <f t="shared" si="40"/>
        <v>0011250100</v>
      </c>
      <c r="B1349" s="6" t="str">
        <f>"529136"</f>
        <v>529136</v>
      </c>
      <c r="C1349" s="6" t="s">
        <v>670</v>
      </c>
      <c r="D1349" s="6" t="s">
        <v>39</v>
      </c>
      <c r="E1349" s="6" t="s">
        <v>13</v>
      </c>
      <c r="F1349" s="6">
        <v>100</v>
      </c>
      <c r="G1349" s="6" t="s">
        <v>667</v>
      </c>
      <c r="H1349" s="6" t="s">
        <v>668</v>
      </c>
      <c r="I1349" s="6" t="s">
        <v>35</v>
      </c>
      <c r="J1349" s="6" t="s">
        <v>20</v>
      </c>
      <c r="K1349" s="7">
        <v>33.29</v>
      </c>
    </row>
    <row r="1350" spans="1:11" s="4" customFormat="1" ht="10.199999999999999" x14ac:dyDescent="0.2">
      <c r="A1350" s="6" t="str">
        <f t="shared" si="40"/>
        <v>0011250100</v>
      </c>
      <c r="B1350" s="6" t="str">
        <f>"500565"</f>
        <v>500565</v>
      </c>
      <c r="C1350" s="6" t="s">
        <v>678</v>
      </c>
      <c r="D1350" s="6" t="s">
        <v>39</v>
      </c>
      <c r="E1350" s="6" t="s">
        <v>13</v>
      </c>
      <c r="F1350" s="6">
        <v>98</v>
      </c>
      <c r="G1350" s="6" t="s">
        <v>667</v>
      </c>
      <c r="H1350" s="6" t="s">
        <v>668</v>
      </c>
      <c r="I1350" s="6" t="s">
        <v>409</v>
      </c>
      <c r="J1350" s="6" t="s">
        <v>20</v>
      </c>
      <c r="K1350" s="7">
        <v>32.630000000000003</v>
      </c>
    </row>
    <row r="1351" spans="1:11" s="4" customFormat="1" ht="10.199999999999999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7"/>
    </row>
    <row r="1352" spans="1:11" s="4" customFormat="1" ht="10.199999999999999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7"/>
    </row>
    <row r="1353" spans="1:11" s="4" customFormat="1" ht="10.199999999999999" x14ac:dyDescent="0.2">
      <c r="A1353" s="6" t="str">
        <f t="shared" ref="A1353:A1362" si="41">"0011260030"</f>
        <v>0011260030</v>
      </c>
      <c r="B1353" s="6" t="str">
        <f>"005867"</f>
        <v>005867</v>
      </c>
      <c r="C1353" s="6" t="s">
        <v>666</v>
      </c>
      <c r="D1353" s="6" t="s">
        <v>93</v>
      </c>
      <c r="E1353" s="6" t="s">
        <v>13</v>
      </c>
      <c r="F1353" s="6">
        <v>28</v>
      </c>
      <c r="G1353" s="6" t="s">
        <v>667</v>
      </c>
      <c r="H1353" s="6" t="s">
        <v>668</v>
      </c>
      <c r="I1353" s="6" t="s">
        <v>669</v>
      </c>
      <c r="J1353" s="6" t="s">
        <v>17</v>
      </c>
      <c r="K1353" s="7">
        <v>26.21</v>
      </c>
    </row>
    <row r="1354" spans="1:11" s="4" customFormat="1" ht="10.199999999999999" x14ac:dyDescent="0.2">
      <c r="A1354" s="6" t="str">
        <f t="shared" si="41"/>
        <v>0011260030</v>
      </c>
      <c r="B1354" s="6" t="str">
        <f>"081194"</f>
        <v>081194</v>
      </c>
      <c r="C1354" s="6" t="s">
        <v>670</v>
      </c>
      <c r="D1354" s="6" t="s">
        <v>93</v>
      </c>
      <c r="E1354" s="6" t="s">
        <v>13</v>
      </c>
      <c r="F1354" s="6">
        <v>30</v>
      </c>
      <c r="G1354" s="6" t="s">
        <v>667</v>
      </c>
      <c r="H1354" s="6" t="s">
        <v>668</v>
      </c>
      <c r="I1354" s="6" t="s">
        <v>35</v>
      </c>
      <c r="J1354" s="6" t="s">
        <v>20</v>
      </c>
      <c r="K1354" s="7">
        <v>16.850000000000001</v>
      </c>
    </row>
    <row r="1355" spans="1:11" s="4" customFormat="1" ht="10.199999999999999" x14ac:dyDescent="0.2">
      <c r="A1355" s="6" t="str">
        <f t="shared" si="41"/>
        <v>0011260030</v>
      </c>
      <c r="B1355" s="6" t="str">
        <f>"125300"</f>
        <v>125300</v>
      </c>
      <c r="C1355" s="6" t="s">
        <v>672</v>
      </c>
      <c r="D1355" s="6" t="s">
        <v>93</v>
      </c>
      <c r="E1355" s="6" t="s">
        <v>13</v>
      </c>
      <c r="F1355" s="6">
        <v>30</v>
      </c>
      <c r="G1355" s="6" t="s">
        <v>667</v>
      </c>
      <c r="H1355" s="6" t="s">
        <v>668</v>
      </c>
      <c r="I1355" s="6" t="s">
        <v>28</v>
      </c>
      <c r="J1355" s="6" t="s">
        <v>20</v>
      </c>
      <c r="K1355" s="7">
        <v>16.850000000000001</v>
      </c>
    </row>
    <row r="1356" spans="1:11" s="4" customFormat="1" ht="10.199999999999999" x14ac:dyDescent="0.2">
      <c r="A1356" s="6" t="str">
        <f t="shared" si="41"/>
        <v>0011260030</v>
      </c>
      <c r="B1356" s="6" t="str">
        <f>"103826"</f>
        <v>103826</v>
      </c>
      <c r="C1356" s="6" t="s">
        <v>675</v>
      </c>
      <c r="D1356" s="6" t="s">
        <v>93</v>
      </c>
      <c r="E1356" s="6" t="s">
        <v>13</v>
      </c>
      <c r="F1356" s="6">
        <v>28</v>
      </c>
      <c r="G1356" s="6" t="s">
        <v>667</v>
      </c>
      <c r="H1356" s="6" t="s">
        <v>668</v>
      </c>
      <c r="I1356" s="6" t="s">
        <v>37</v>
      </c>
      <c r="J1356" s="6" t="s">
        <v>20</v>
      </c>
      <c r="K1356" s="7">
        <v>15.73</v>
      </c>
    </row>
    <row r="1357" spans="1:11" s="4" customFormat="1" ht="10.199999999999999" x14ac:dyDescent="0.2">
      <c r="A1357" s="6" t="str">
        <f t="shared" si="41"/>
        <v>0011260030</v>
      </c>
      <c r="B1357" s="6" t="str">
        <f>"127713"</f>
        <v>127713</v>
      </c>
      <c r="C1357" s="6" t="s">
        <v>674</v>
      </c>
      <c r="D1357" s="6" t="s">
        <v>93</v>
      </c>
      <c r="E1357" s="6" t="s">
        <v>13</v>
      </c>
      <c r="F1357" s="6">
        <v>28</v>
      </c>
      <c r="G1357" s="6" t="s">
        <v>667</v>
      </c>
      <c r="H1357" s="6" t="s">
        <v>668</v>
      </c>
      <c r="I1357" s="6" t="s">
        <v>669</v>
      </c>
      <c r="J1357" s="6" t="s">
        <v>20</v>
      </c>
      <c r="K1357" s="7">
        <v>15.73</v>
      </c>
    </row>
    <row r="1358" spans="1:11" s="4" customFormat="1" ht="10.199999999999999" x14ac:dyDescent="0.2">
      <c r="A1358" s="6" t="str">
        <f t="shared" si="41"/>
        <v>0011260030</v>
      </c>
      <c r="B1358" s="6" t="str">
        <f>"145188"</f>
        <v>145188</v>
      </c>
      <c r="C1358" s="6" t="s">
        <v>675</v>
      </c>
      <c r="D1358" s="6" t="s">
        <v>93</v>
      </c>
      <c r="E1358" s="6" t="s">
        <v>68</v>
      </c>
      <c r="F1358" s="6">
        <v>28</v>
      </c>
      <c r="G1358" s="6" t="s">
        <v>667</v>
      </c>
      <c r="H1358" s="6" t="s">
        <v>668</v>
      </c>
      <c r="I1358" s="6" t="s">
        <v>37</v>
      </c>
      <c r="J1358" s="6" t="s">
        <v>20</v>
      </c>
      <c r="K1358" s="7">
        <v>15.73</v>
      </c>
    </row>
    <row r="1359" spans="1:11" s="4" customFormat="1" ht="20.399999999999999" x14ac:dyDescent="0.2">
      <c r="A1359" s="6" t="str">
        <f t="shared" si="41"/>
        <v>0011260030</v>
      </c>
      <c r="B1359" s="6" t="str">
        <f>"164139"</f>
        <v>164139</v>
      </c>
      <c r="C1359" s="6" t="s">
        <v>673</v>
      </c>
      <c r="D1359" s="6" t="s">
        <v>93</v>
      </c>
      <c r="E1359" s="6" t="s">
        <v>68</v>
      </c>
      <c r="F1359" s="6">
        <v>28</v>
      </c>
      <c r="G1359" s="6" t="s">
        <v>667</v>
      </c>
      <c r="H1359" s="6" t="s">
        <v>668</v>
      </c>
      <c r="I1359" s="6" t="s">
        <v>124</v>
      </c>
      <c r="J1359" s="6" t="s">
        <v>20</v>
      </c>
      <c r="K1359" s="7">
        <v>15.73</v>
      </c>
    </row>
    <row r="1360" spans="1:11" s="4" customFormat="1" ht="10.199999999999999" x14ac:dyDescent="0.2">
      <c r="A1360" s="6" t="str">
        <f t="shared" si="41"/>
        <v>0011260030</v>
      </c>
      <c r="B1360" s="6" t="str">
        <f>"173411"</f>
        <v>173411</v>
      </c>
      <c r="C1360" s="6" t="s">
        <v>673</v>
      </c>
      <c r="D1360" s="6" t="s">
        <v>93</v>
      </c>
      <c r="E1360" s="6" t="s">
        <v>13</v>
      </c>
      <c r="F1360" s="6">
        <v>28</v>
      </c>
      <c r="G1360" s="6" t="s">
        <v>667</v>
      </c>
      <c r="H1360" s="6" t="s">
        <v>668</v>
      </c>
      <c r="I1360" s="6" t="s">
        <v>211</v>
      </c>
      <c r="J1360" s="6" t="s">
        <v>20</v>
      </c>
      <c r="K1360" s="7">
        <v>15.73</v>
      </c>
    </row>
    <row r="1361" spans="1:11" s="4" customFormat="1" ht="10.199999999999999" x14ac:dyDescent="0.2">
      <c r="A1361" s="6" t="str">
        <f t="shared" si="41"/>
        <v>0011260030</v>
      </c>
      <c r="B1361" s="6" t="str">
        <f>"456870"</f>
        <v>456870</v>
      </c>
      <c r="C1361" s="6" t="s">
        <v>678</v>
      </c>
      <c r="D1361" s="6" t="s">
        <v>93</v>
      </c>
      <c r="E1361" s="6" t="s">
        <v>13</v>
      </c>
      <c r="F1361" s="6">
        <v>28</v>
      </c>
      <c r="G1361" s="6" t="s">
        <v>667</v>
      </c>
      <c r="H1361" s="6" t="s">
        <v>668</v>
      </c>
      <c r="I1361" s="6" t="s">
        <v>409</v>
      </c>
      <c r="J1361" s="6" t="s">
        <v>20</v>
      </c>
      <c r="K1361" s="7">
        <v>15.73</v>
      </c>
    </row>
    <row r="1362" spans="1:11" s="4" customFormat="1" ht="10.199999999999999" x14ac:dyDescent="0.2">
      <c r="A1362" s="6" t="str">
        <f t="shared" si="41"/>
        <v>0011260030</v>
      </c>
      <c r="B1362" s="6" t="str">
        <f>"536503"</f>
        <v>536503</v>
      </c>
      <c r="C1362" s="6" t="s">
        <v>676</v>
      </c>
      <c r="D1362" s="6" t="s">
        <v>93</v>
      </c>
      <c r="E1362" s="6" t="s">
        <v>13</v>
      </c>
      <c r="F1362" s="6">
        <v>28</v>
      </c>
      <c r="G1362" s="6" t="s">
        <v>667</v>
      </c>
      <c r="H1362" s="6" t="s">
        <v>668</v>
      </c>
      <c r="I1362" s="6" t="s">
        <v>45</v>
      </c>
      <c r="J1362" s="6" t="s">
        <v>20</v>
      </c>
      <c r="K1362" s="7">
        <v>15.73</v>
      </c>
    </row>
    <row r="1363" spans="1:11" s="4" customFormat="1" ht="10.199999999999999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7"/>
    </row>
    <row r="1364" spans="1:11" s="4" customFormat="1" ht="10.199999999999999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7"/>
    </row>
    <row r="1365" spans="1:11" s="4" customFormat="1" ht="10.199999999999999" x14ac:dyDescent="0.2">
      <c r="A1365" s="6" t="str">
        <f t="shared" ref="A1365:A1375" si="42">"0011260100"</f>
        <v>0011260100</v>
      </c>
      <c r="B1365" s="6" t="str">
        <f>"005902"</f>
        <v>005902</v>
      </c>
      <c r="C1365" s="6" t="s">
        <v>666</v>
      </c>
      <c r="D1365" s="6" t="s">
        <v>93</v>
      </c>
      <c r="E1365" s="6" t="s">
        <v>13</v>
      </c>
      <c r="F1365" s="6">
        <v>100</v>
      </c>
      <c r="G1365" s="6" t="s">
        <v>667</v>
      </c>
      <c r="H1365" s="6" t="s">
        <v>668</v>
      </c>
      <c r="I1365" s="6" t="s">
        <v>669</v>
      </c>
      <c r="J1365" s="6" t="s">
        <v>17</v>
      </c>
      <c r="K1365" s="7">
        <v>81.489999999999995</v>
      </c>
    </row>
    <row r="1366" spans="1:11" s="4" customFormat="1" ht="10.199999999999999" x14ac:dyDescent="0.2">
      <c r="A1366" s="6" t="str">
        <f t="shared" si="42"/>
        <v>0011260100</v>
      </c>
      <c r="B1366" s="6" t="str">
        <f>"043366"</f>
        <v>043366</v>
      </c>
      <c r="C1366" s="6" t="s">
        <v>672</v>
      </c>
      <c r="D1366" s="6" t="s">
        <v>93</v>
      </c>
      <c r="E1366" s="6" t="s">
        <v>13</v>
      </c>
      <c r="F1366" s="6">
        <v>100</v>
      </c>
      <c r="G1366" s="6" t="s">
        <v>667</v>
      </c>
      <c r="H1366" s="6" t="s">
        <v>668</v>
      </c>
      <c r="I1366" s="6" t="s">
        <v>28</v>
      </c>
      <c r="J1366" s="6" t="s">
        <v>20</v>
      </c>
      <c r="K1366" s="7">
        <v>48.89</v>
      </c>
    </row>
    <row r="1367" spans="1:11" s="4" customFormat="1" ht="10.199999999999999" x14ac:dyDescent="0.2">
      <c r="A1367" s="6" t="str">
        <f t="shared" si="42"/>
        <v>0011260100</v>
      </c>
      <c r="B1367" s="6" t="str">
        <f>"081217"</f>
        <v>081217</v>
      </c>
      <c r="C1367" s="6" t="s">
        <v>670</v>
      </c>
      <c r="D1367" s="6" t="s">
        <v>93</v>
      </c>
      <c r="E1367" s="6" t="s">
        <v>13</v>
      </c>
      <c r="F1367" s="6">
        <v>100</v>
      </c>
      <c r="G1367" s="6" t="s">
        <v>667</v>
      </c>
      <c r="H1367" s="6" t="s">
        <v>668</v>
      </c>
      <c r="I1367" s="6" t="s">
        <v>35</v>
      </c>
      <c r="J1367" s="6" t="s">
        <v>20</v>
      </c>
      <c r="K1367" s="7">
        <v>48.89</v>
      </c>
    </row>
    <row r="1368" spans="1:11" s="4" customFormat="1" ht="10.199999999999999" x14ac:dyDescent="0.2">
      <c r="A1368" s="6" t="str">
        <f t="shared" si="42"/>
        <v>0011260100</v>
      </c>
      <c r="B1368" s="6" t="str">
        <f>"420381"</f>
        <v>420381</v>
      </c>
      <c r="C1368" s="6" t="s">
        <v>673</v>
      </c>
      <c r="D1368" s="6" t="s">
        <v>93</v>
      </c>
      <c r="E1368" s="6" t="s">
        <v>13</v>
      </c>
      <c r="F1368" s="6">
        <v>100</v>
      </c>
      <c r="G1368" s="6" t="s">
        <v>667</v>
      </c>
      <c r="H1368" s="6" t="s">
        <v>668</v>
      </c>
      <c r="I1368" s="6" t="s">
        <v>211</v>
      </c>
      <c r="J1368" s="6" t="s">
        <v>20</v>
      </c>
      <c r="K1368" s="7">
        <v>48.89</v>
      </c>
    </row>
    <row r="1369" spans="1:11" s="4" customFormat="1" ht="10.199999999999999" x14ac:dyDescent="0.2">
      <c r="A1369" s="6" t="str">
        <f t="shared" si="42"/>
        <v>0011260100</v>
      </c>
      <c r="B1369" s="6" t="str">
        <f>"447872"</f>
        <v>447872</v>
      </c>
      <c r="C1369" s="6" t="s">
        <v>674</v>
      </c>
      <c r="D1369" s="6" t="s">
        <v>93</v>
      </c>
      <c r="E1369" s="6" t="s">
        <v>13</v>
      </c>
      <c r="F1369" s="6">
        <v>100</v>
      </c>
      <c r="G1369" s="6" t="s">
        <v>667</v>
      </c>
      <c r="H1369" s="6" t="s">
        <v>668</v>
      </c>
      <c r="I1369" s="6" t="s">
        <v>669</v>
      </c>
      <c r="J1369" s="6" t="s">
        <v>20</v>
      </c>
      <c r="K1369" s="7">
        <v>48.89</v>
      </c>
    </row>
    <row r="1370" spans="1:11" s="4" customFormat="1" ht="10.199999999999999" x14ac:dyDescent="0.2">
      <c r="A1370" s="6" t="str">
        <f t="shared" si="42"/>
        <v>0011260100</v>
      </c>
      <c r="B1370" s="6" t="str">
        <f>"184284"</f>
        <v>184284</v>
      </c>
      <c r="C1370" s="6" t="s">
        <v>673</v>
      </c>
      <c r="D1370" s="6" t="s">
        <v>93</v>
      </c>
      <c r="E1370" s="6" t="s">
        <v>13</v>
      </c>
      <c r="F1370" s="6">
        <v>98</v>
      </c>
      <c r="G1370" s="6" t="s">
        <v>667</v>
      </c>
      <c r="H1370" s="6" t="s">
        <v>668</v>
      </c>
      <c r="I1370" s="6" t="s">
        <v>211</v>
      </c>
      <c r="J1370" s="6" t="s">
        <v>20</v>
      </c>
      <c r="K1370" s="7">
        <v>47.92</v>
      </c>
    </row>
    <row r="1371" spans="1:11" s="4" customFormat="1" ht="10.199999999999999" x14ac:dyDescent="0.2">
      <c r="A1371" s="6" t="str">
        <f t="shared" si="42"/>
        <v>0011260100</v>
      </c>
      <c r="B1371" s="6" t="str">
        <f>"391304"</f>
        <v>391304</v>
      </c>
      <c r="C1371" s="6" t="s">
        <v>675</v>
      </c>
      <c r="D1371" s="6" t="s">
        <v>93</v>
      </c>
      <c r="E1371" s="6" t="s">
        <v>13</v>
      </c>
      <c r="F1371" s="6">
        <v>98</v>
      </c>
      <c r="G1371" s="6" t="s">
        <v>667</v>
      </c>
      <c r="H1371" s="6" t="s">
        <v>668</v>
      </c>
      <c r="I1371" s="6" t="s">
        <v>37</v>
      </c>
      <c r="J1371" s="6" t="s">
        <v>20</v>
      </c>
      <c r="K1371" s="7">
        <v>47.92</v>
      </c>
    </row>
    <row r="1372" spans="1:11" s="4" customFormat="1" ht="20.399999999999999" x14ac:dyDescent="0.2">
      <c r="A1372" s="6" t="str">
        <f t="shared" si="42"/>
        <v>0011260100</v>
      </c>
      <c r="B1372" s="6" t="str">
        <f>"424633"</f>
        <v>424633</v>
      </c>
      <c r="C1372" s="6" t="s">
        <v>673</v>
      </c>
      <c r="D1372" s="6" t="s">
        <v>93</v>
      </c>
      <c r="E1372" s="6" t="s">
        <v>68</v>
      </c>
      <c r="F1372" s="6">
        <v>98</v>
      </c>
      <c r="G1372" s="6" t="s">
        <v>667</v>
      </c>
      <c r="H1372" s="6" t="s">
        <v>668</v>
      </c>
      <c r="I1372" s="6" t="s">
        <v>124</v>
      </c>
      <c r="J1372" s="6" t="s">
        <v>20</v>
      </c>
      <c r="K1372" s="7">
        <v>47.92</v>
      </c>
    </row>
    <row r="1373" spans="1:11" s="4" customFormat="1" ht="10.199999999999999" x14ac:dyDescent="0.2">
      <c r="A1373" s="6" t="str">
        <f t="shared" si="42"/>
        <v>0011260100</v>
      </c>
      <c r="B1373" s="6" t="str">
        <f>"443779"</f>
        <v>443779</v>
      </c>
      <c r="C1373" s="6" t="s">
        <v>676</v>
      </c>
      <c r="D1373" s="6" t="s">
        <v>93</v>
      </c>
      <c r="E1373" s="6" t="s">
        <v>13</v>
      </c>
      <c r="F1373" s="6">
        <v>98</v>
      </c>
      <c r="G1373" s="6" t="s">
        <v>667</v>
      </c>
      <c r="H1373" s="6" t="s">
        <v>668</v>
      </c>
      <c r="I1373" s="6" t="s">
        <v>45</v>
      </c>
      <c r="J1373" s="6" t="s">
        <v>20</v>
      </c>
      <c r="K1373" s="7">
        <v>47.92</v>
      </c>
    </row>
    <row r="1374" spans="1:11" s="4" customFormat="1" ht="10.199999999999999" x14ac:dyDescent="0.2">
      <c r="A1374" s="6" t="str">
        <f t="shared" si="42"/>
        <v>0011260100</v>
      </c>
      <c r="B1374" s="6" t="str">
        <f>"525976"</f>
        <v>525976</v>
      </c>
      <c r="C1374" s="6" t="s">
        <v>675</v>
      </c>
      <c r="D1374" s="6" t="s">
        <v>93</v>
      </c>
      <c r="E1374" s="6" t="s">
        <v>68</v>
      </c>
      <c r="F1374" s="6">
        <v>98</v>
      </c>
      <c r="G1374" s="6" t="s">
        <v>667</v>
      </c>
      <c r="H1374" s="6" t="s">
        <v>668</v>
      </c>
      <c r="I1374" s="6" t="s">
        <v>37</v>
      </c>
      <c r="J1374" s="6" t="s">
        <v>20</v>
      </c>
      <c r="K1374" s="7">
        <v>47.92</v>
      </c>
    </row>
    <row r="1375" spans="1:11" s="4" customFormat="1" ht="10.199999999999999" x14ac:dyDescent="0.2">
      <c r="A1375" s="6" t="str">
        <f t="shared" si="42"/>
        <v>0011260100</v>
      </c>
      <c r="B1375" s="6" t="str">
        <f>"559076"</f>
        <v>559076</v>
      </c>
      <c r="C1375" s="6" t="s">
        <v>678</v>
      </c>
      <c r="D1375" s="6" t="s">
        <v>93</v>
      </c>
      <c r="E1375" s="6" t="s">
        <v>13</v>
      </c>
      <c r="F1375" s="6">
        <v>98</v>
      </c>
      <c r="G1375" s="6" t="s">
        <v>667</v>
      </c>
      <c r="H1375" s="6" t="s">
        <v>668</v>
      </c>
      <c r="I1375" s="6" t="s">
        <v>409</v>
      </c>
      <c r="J1375" s="6" t="s">
        <v>20</v>
      </c>
      <c r="K1375" s="7">
        <v>47.92</v>
      </c>
    </row>
    <row r="1376" spans="1:11" s="4" customFormat="1" ht="10.199999999999999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7"/>
    </row>
    <row r="1377" spans="1:11" s="4" customFormat="1" ht="10.199999999999999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7"/>
    </row>
    <row r="1378" spans="1:11" s="4" customFormat="1" ht="10.199999999999999" x14ac:dyDescent="0.2">
      <c r="A1378" s="6" t="str">
        <f t="shared" ref="A1378:A1389" si="43">"0011270030"</f>
        <v>0011270030</v>
      </c>
      <c r="B1378" s="6" t="str">
        <f>"005922"</f>
        <v>005922</v>
      </c>
      <c r="C1378" s="6" t="s">
        <v>666</v>
      </c>
      <c r="D1378" s="6" t="s">
        <v>22</v>
      </c>
      <c r="E1378" s="6" t="s">
        <v>13</v>
      </c>
      <c r="F1378" s="6">
        <v>28</v>
      </c>
      <c r="G1378" s="6" t="s">
        <v>667</v>
      </c>
      <c r="H1378" s="6" t="s">
        <v>668</v>
      </c>
      <c r="I1378" s="6" t="s">
        <v>669</v>
      </c>
      <c r="J1378" s="6" t="s">
        <v>17</v>
      </c>
      <c r="K1378" s="7">
        <v>34.909999999999997</v>
      </c>
    </row>
    <row r="1379" spans="1:11" s="4" customFormat="1" ht="10.199999999999999" x14ac:dyDescent="0.2">
      <c r="A1379" s="6" t="str">
        <f t="shared" si="43"/>
        <v>0011270030</v>
      </c>
      <c r="B1379" s="6" t="str">
        <f>"081228"</f>
        <v>081228</v>
      </c>
      <c r="C1379" s="6" t="s">
        <v>670</v>
      </c>
      <c r="D1379" s="6" t="s">
        <v>22</v>
      </c>
      <c r="E1379" s="6" t="s">
        <v>13</v>
      </c>
      <c r="F1379" s="6">
        <v>30</v>
      </c>
      <c r="G1379" s="6" t="s">
        <v>667</v>
      </c>
      <c r="H1379" s="6" t="s">
        <v>668</v>
      </c>
      <c r="I1379" s="6" t="s">
        <v>35</v>
      </c>
      <c r="J1379" s="6" t="s">
        <v>20</v>
      </c>
      <c r="K1379" s="7">
        <v>22.44</v>
      </c>
    </row>
    <row r="1380" spans="1:11" s="4" customFormat="1" ht="10.199999999999999" x14ac:dyDescent="0.2">
      <c r="A1380" s="6" t="str">
        <f t="shared" si="43"/>
        <v>0011270030</v>
      </c>
      <c r="B1380" s="6" t="str">
        <f>"401155"</f>
        <v>401155</v>
      </c>
      <c r="C1380" s="6" t="s">
        <v>672</v>
      </c>
      <c r="D1380" s="6" t="s">
        <v>22</v>
      </c>
      <c r="E1380" s="6" t="s">
        <v>13</v>
      </c>
      <c r="F1380" s="6">
        <v>30</v>
      </c>
      <c r="G1380" s="6" t="s">
        <v>667</v>
      </c>
      <c r="H1380" s="6" t="s">
        <v>668</v>
      </c>
      <c r="I1380" s="6" t="s">
        <v>28</v>
      </c>
      <c r="J1380" s="6" t="s">
        <v>20</v>
      </c>
      <c r="K1380" s="7">
        <v>22.44</v>
      </c>
    </row>
    <row r="1381" spans="1:11" s="4" customFormat="1" ht="10.199999999999999" x14ac:dyDescent="0.2">
      <c r="A1381" s="6" t="str">
        <f t="shared" si="43"/>
        <v>0011270030</v>
      </c>
      <c r="B1381" s="6" t="str">
        <f>"038036"</f>
        <v>038036</v>
      </c>
      <c r="C1381" s="6" t="s">
        <v>671</v>
      </c>
      <c r="D1381" s="6" t="s">
        <v>22</v>
      </c>
      <c r="E1381" s="6" t="s">
        <v>13</v>
      </c>
      <c r="F1381" s="6">
        <v>28</v>
      </c>
      <c r="G1381" s="6" t="s">
        <v>667</v>
      </c>
      <c r="H1381" s="6" t="s">
        <v>668</v>
      </c>
      <c r="I1381" s="6" t="s">
        <v>274</v>
      </c>
      <c r="J1381" s="6" t="s">
        <v>20</v>
      </c>
      <c r="K1381" s="7">
        <v>21.37</v>
      </c>
    </row>
    <row r="1382" spans="1:11" s="4" customFormat="1" ht="10.199999999999999" x14ac:dyDescent="0.2">
      <c r="A1382" s="6" t="str">
        <f t="shared" si="43"/>
        <v>0011270030</v>
      </c>
      <c r="B1382" s="6" t="str">
        <f>"086123"</f>
        <v>086123</v>
      </c>
      <c r="C1382" s="6" t="s">
        <v>677</v>
      </c>
      <c r="D1382" s="6" t="s">
        <v>22</v>
      </c>
      <c r="E1382" s="6" t="s">
        <v>13</v>
      </c>
      <c r="F1382" s="6">
        <v>28</v>
      </c>
      <c r="G1382" s="6" t="s">
        <v>667</v>
      </c>
      <c r="H1382" s="6" t="s">
        <v>668</v>
      </c>
      <c r="I1382" s="6" t="s">
        <v>90</v>
      </c>
      <c r="J1382" s="6" t="s">
        <v>20</v>
      </c>
      <c r="K1382" s="7">
        <v>21.37</v>
      </c>
    </row>
    <row r="1383" spans="1:11" s="4" customFormat="1" ht="10.199999999999999" x14ac:dyDescent="0.2">
      <c r="A1383" s="6" t="str">
        <f t="shared" si="43"/>
        <v>0011270030</v>
      </c>
      <c r="B1383" s="6" t="str">
        <f>"171054"</f>
        <v>171054</v>
      </c>
      <c r="C1383" s="6" t="s">
        <v>675</v>
      </c>
      <c r="D1383" s="6" t="s">
        <v>22</v>
      </c>
      <c r="E1383" s="6" t="s">
        <v>68</v>
      </c>
      <c r="F1383" s="6">
        <v>28</v>
      </c>
      <c r="G1383" s="6" t="s">
        <v>667</v>
      </c>
      <c r="H1383" s="6" t="s">
        <v>668</v>
      </c>
      <c r="I1383" s="6" t="s">
        <v>37</v>
      </c>
      <c r="J1383" s="6" t="s">
        <v>20</v>
      </c>
      <c r="K1383" s="7">
        <v>21.37</v>
      </c>
    </row>
    <row r="1384" spans="1:11" s="4" customFormat="1" ht="10.199999999999999" x14ac:dyDescent="0.2">
      <c r="A1384" s="6" t="str">
        <f t="shared" si="43"/>
        <v>0011270030</v>
      </c>
      <c r="B1384" s="6" t="str">
        <f>"392586"</f>
        <v>392586</v>
      </c>
      <c r="C1384" s="6" t="s">
        <v>674</v>
      </c>
      <c r="D1384" s="6" t="s">
        <v>22</v>
      </c>
      <c r="E1384" s="6" t="s">
        <v>13</v>
      </c>
      <c r="F1384" s="6">
        <v>28</v>
      </c>
      <c r="G1384" s="6" t="s">
        <v>667</v>
      </c>
      <c r="H1384" s="6" t="s">
        <v>668</v>
      </c>
      <c r="I1384" s="6" t="s">
        <v>669</v>
      </c>
      <c r="J1384" s="6" t="s">
        <v>20</v>
      </c>
      <c r="K1384" s="7">
        <v>21.37</v>
      </c>
    </row>
    <row r="1385" spans="1:11" s="4" customFormat="1" ht="10.199999999999999" x14ac:dyDescent="0.2">
      <c r="A1385" s="6" t="str">
        <f t="shared" si="43"/>
        <v>0011270030</v>
      </c>
      <c r="B1385" s="6" t="str">
        <f>"418641"</f>
        <v>418641</v>
      </c>
      <c r="C1385" s="6" t="s">
        <v>676</v>
      </c>
      <c r="D1385" s="6" t="s">
        <v>22</v>
      </c>
      <c r="E1385" s="6" t="s">
        <v>13</v>
      </c>
      <c r="F1385" s="6">
        <v>28</v>
      </c>
      <c r="G1385" s="6" t="s">
        <v>667</v>
      </c>
      <c r="H1385" s="6" t="s">
        <v>668</v>
      </c>
      <c r="I1385" s="6" t="s">
        <v>45</v>
      </c>
      <c r="J1385" s="6" t="s">
        <v>20</v>
      </c>
      <c r="K1385" s="7">
        <v>21.37</v>
      </c>
    </row>
    <row r="1386" spans="1:11" s="4" customFormat="1" ht="20.399999999999999" x14ac:dyDescent="0.2">
      <c r="A1386" s="6" t="str">
        <f t="shared" si="43"/>
        <v>0011270030</v>
      </c>
      <c r="B1386" s="6" t="str">
        <f>"453804"</f>
        <v>453804</v>
      </c>
      <c r="C1386" s="6" t="s">
        <v>673</v>
      </c>
      <c r="D1386" s="6" t="s">
        <v>22</v>
      </c>
      <c r="E1386" s="6" t="s">
        <v>68</v>
      </c>
      <c r="F1386" s="6">
        <v>28</v>
      </c>
      <c r="G1386" s="6" t="s">
        <v>667</v>
      </c>
      <c r="H1386" s="6" t="s">
        <v>668</v>
      </c>
      <c r="I1386" s="6" t="s">
        <v>124</v>
      </c>
      <c r="J1386" s="6" t="s">
        <v>20</v>
      </c>
      <c r="K1386" s="7">
        <v>21.37</v>
      </c>
    </row>
    <row r="1387" spans="1:11" s="4" customFormat="1" ht="10.199999999999999" x14ac:dyDescent="0.2">
      <c r="A1387" s="6" t="str">
        <f t="shared" si="43"/>
        <v>0011270030</v>
      </c>
      <c r="B1387" s="6" t="str">
        <f>"501308"</f>
        <v>501308</v>
      </c>
      <c r="C1387" s="6" t="s">
        <v>675</v>
      </c>
      <c r="D1387" s="6" t="s">
        <v>22</v>
      </c>
      <c r="E1387" s="6" t="s">
        <v>13</v>
      </c>
      <c r="F1387" s="6">
        <v>28</v>
      </c>
      <c r="G1387" s="6" t="s">
        <v>667</v>
      </c>
      <c r="H1387" s="6" t="s">
        <v>668</v>
      </c>
      <c r="I1387" s="6" t="s">
        <v>37</v>
      </c>
      <c r="J1387" s="6" t="s">
        <v>20</v>
      </c>
      <c r="K1387" s="7">
        <v>21.37</v>
      </c>
    </row>
    <row r="1388" spans="1:11" s="4" customFormat="1" ht="10.199999999999999" x14ac:dyDescent="0.2">
      <c r="A1388" s="6" t="str">
        <f t="shared" si="43"/>
        <v>0011270030</v>
      </c>
      <c r="B1388" s="6" t="str">
        <f>"569163"</f>
        <v>569163</v>
      </c>
      <c r="C1388" s="6" t="s">
        <v>673</v>
      </c>
      <c r="D1388" s="6" t="s">
        <v>22</v>
      </c>
      <c r="E1388" s="6" t="s">
        <v>13</v>
      </c>
      <c r="F1388" s="6">
        <v>28</v>
      </c>
      <c r="G1388" s="6" t="s">
        <v>667</v>
      </c>
      <c r="H1388" s="6" t="s">
        <v>668</v>
      </c>
      <c r="I1388" s="6" t="s">
        <v>211</v>
      </c>
      <c r="J1388" s="6" t="s">
        <v>20</v>
      </c>
      <c r="K1388" s="7">
        <v>21.37</v>
      </c>
    </row>
    <row r="1389" spans="1:11" s="4" customFormat="1" ht="10.199999999999999" x14ac:dyDescent="0.2">
      <c r="A1389" s="6" t="str">
        <f t="shared" si="43"/>
        <v>0011270030</v>
      </c>
      <c r="B1389" s="6" t="str">
        <f>"550832"</f>
        <v>550832</v>
      </c>
      <c r="C1389" s="6" t="s">
        <v>678</v>
      </c>
      <c r="D1389" s="6" t="s">
        <v>22</v>
      </c>
      <c r="E1389" s="6" t="s">
        <v>13</v>
      </c>
      <c r="F1389" s="6">
        <v>28</v>
      </c>
      <c r="G1389" s="6" t="s">
        <v>667</v>
      </c>
      <c r="H1389" s="6" t="s">
        <v>668</v>
      </c>
      <c r="I1389" s="6" t="s">
        <v>409</v>
      </c>
      <c r="J1389" s="6" t="s">
        <v>20</v>
      </c>
      <c r="K1389" s="7">
        <v>20.95</v>
      </c>
    </row>
    <row r="1390" spans="1:11" s="4" customFormat="1" ht="10.199999999999999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7"/>
    </row>
    <row r="1391" spans="1:11" s="4" customFormat="1" ht="10.199999999999999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7"/>
    </row>
    <row r="1392" spans="1:11" s="4" customFormat="1" ht="10.199999999999999" x14ac:dyDescent="0.2">
      <c r="A1392" s="6" t="str">
        <f t="shared" ref="A1392:A1404" si="44">"0011270100"</f>
        <v>0011270100</v>
      </c>
      <c r="B1392" s="6" t="str">
        <f>"011314"</f>
        <v>011314</v>
      </c>
      <c r="C1392" s="6" t="s">
        <v>666</v>
      </c>
      <c r="D1392" s="6" t="s">
        <v>22</v>
      </c>
      <c r="E1392" s="6" t="s">
        <v>13</v>
      </c>
      <c r="F1392" s="6">
        <v>100</v>
      </c>
      <c r="G1392" s="6" t="s">
        <v>667</v>
      </c>
      <c r="H1392" s="6" t="s">
        <v>668</v>
      </c>
      <c r="I1392" s="6" t="s">
        <v>669</v>
      </c>
      <c r="J1392" s="6" t="s">
        <v>17</v>
      </c>
      <c r="K1392" s="7">
        <v>107.5</v>
      </c>
    </row>
    <row r="1393" spans="1:11" s="4" customFormat="1" ht="10.199999999999999" x14ac:dyDescent="0.2">
      <c r="A1393" s="6" t="str">
        <f t="shared" si="44"/>
        <v>0011270100</v>
      </c>
      <c r="B1393" s="6" t="str">
        <f>"038103"</f>
        <v>038103</v>
      </c>
      <c r="C1393" s="6" t="s">
        <v>671</v>
      </c>
      <c r="D1393" s="6" t="s">
        <v>22</v>
      </c>
      <c r="E1393" s="6" t="s">
        <v>13</v>
      </c>
      <c r="F1393" s="6">
        <v>100</v>
      </c>
      <c r="G1393" s="6" t="s">
        <v>667</v>
      </c>
      <c r="H1393" s="6" t="s">
        <v>668</v>
      </c>
      <c r="I1393" s="6" t="s">
        <v>274</v>
      </c>
      <c r="J1393" s="6" t="s">
        <v>20</v>
      </c>
      <c r="K1393" s="7">
        <v>66.48</v>
      </c>
    </row>
    <row r="1394" spans="1:11" s="4" customFormat="1" ht="10.199999999999999" x14ac:dyDescent="0.2">
      <c r="A1394" s="6" t="str">
        <f t="shared" si="44"/>
        <v>0011270100</v>
      </c>
      <c r="B1394" s="6" t="str">
        <f>"182023"</f>
        <v>182023</v>
      </c>
      <c r="C1394" s="6" t="s">
        <v>672</v>
      </c>
      <c r="D1394" s="6" t="s">
        <v>22</v>
      </c>
      <c r="E1394" s="6" t="s">
        <v>13</v>
      </c>
      <c r="F1394" s="6">
        <v>100</v>
      </c>
      <c r="G1394" s="6" t="s">
        <v>667</v>
      </c>
      <c r="H1394" s="6" t="s">
        <v>668</v>
      </c>
      <c r="I1394" s="6" t="s">
        <v>28</v>
      </c>
      <c r="J1394" s="6" t="s">
        <v>20</v>
      </c>
      <c r="K1394" s="7">
        <v>66.48</v>
      </c>
    </row>
    <row r="1395" spans="1:11" s="4" customFormat="1" ht="10.199999999999999" x14ac:dyDescent="0.2">
      <c r="A1395" s="6" t="str">
        <f t="shared" si="44"/>
        <v>0011270100</v>
      </c>
      <c r="B1395" s="6" t="str">
        <f>"433471"</f>
        <v>433471</v>
      </c>
      <c r="C1395" s="6" t="s">
        <v>673</v>
      </c>
      <c r="D1395" s="6" t="s">
        <v>22</v>
      </c>
      <c r="E1395" s="6" t="s">
        <v>13</v>
      </c>
      <c r="F1395" s="6">
        <v>100</v>
      </c>
      <c r="G1395" s="6" t="s">
        <v>667</v>
      </c>
      <c r="H1395" s="6" t="s">
        <v>668</v>
      </c>
      <c r="I1395" s="6" t="s">
        <v>211</v>
      </c>
      <c r="J1395" s="6" t="s">
        <v>20</v>
      </c>
      <c r="K1395" s="7">
        <v>66.48</v>
      </c>
    </row>
    <row r="1396" spans="1:11" s="4" customFormat="1" ht="10.199999999999999" x14ac:dyDescent="0.2">
      <c r="A1396" s="6" t="str">
        <f t="shared" si="44"/>
        <v>0011270100</v>
      </c>
      <c r="B1396" s="6" t="str">
        <f>"594706"</f>
        <v>594706</v>
      </c>
      <c r="C1396" s="6" t="s">
        <v>674</v>
      </c>
      <c r="D1396" s="6" t="s">
        <v>22</v>
      </c>
      <c r="E1396" s="6" t="s">
        <v>13</v>
      </c>
      <c r="F1396" s="6">
        <v>100</v>
      </c>
      <c r="G1396" s="6" t="s">
        <v>667</v>
      </c>
      <c r="H1396" s="6" t="s">
        <v>668</v>
      </c>
      <c r="I1396" s="6" t="s">
        <v>669</v>
      </c>
      <c r="J1396" s="6" t="s">
        <v>20</v>
      </c>
      <c r="K1396" s="7">
        <v>66.48</v>
      </c>
    </row>
    <row r="1397" spans="1:11" s="4" customFormat="1" ht="10.199999999999999" x14ac:dyDescent="0.2">
      <c r="A1397" s="6" t="str">
        <f t="shared" si="44"/>
        <v>0011270100</v>
      </c>
      <c r="B1397" s="6" t="str">
        <f>"081250"</f>
        <v>081250</v>
      </c>
      <c r="C1397" s="6" t="s">
        <v>670</v>
      </c>
      <c r="D1397" s="6" t="s">
        <v>22</v>
      </c>
      <c r="E1397" s="6" t="s">
        <v>13</v>
      </c>
      <c r="F1397" s="6">
        <v>100</v>
      </c>
      <c r="G1397" s="6" t="s">
        <v>667</v>
      </c>
      <c r="H1397" s="6" t="s">
        <v>668</v>
      </c>
      <c r="I1397" s="6" t="s">
        <v>35</v>
      </c>
      <c r="J1397" s="6" t="s">
        <v>20</v>
      </c>
      <c r="K1397" s="7">
        <v>64.5</v>
      </c>
    </row>
    <row r="1398" spans="1:11" s="4" customFormat="1" ht="10.199999999999999" x14ac:dyDescent="0.2">
      <c r="A1398" s="6" t="str">
        <f t="shared" si="44"/>
        <v>0011270100</v>
      </c>
      <c r="B1398" s="6" t="str">
        <f>"102227"</f>
        <v>102227</v>
      </c>
      <c r="C1398" s="6" t="s">
        <v>673</v>
      </c>
      <c r="D1398" s="6" t="s">
        <v>22</v>
      </c>
      <c r="E1398" s="6" t="s">
        <v>13</v>
      </c>
      <c r="F1398" s="6">
        <v>98</v>
      </c>
      <c r="G1398" s="6" t="s">
        <v>667</v>
      </c>
      <c r="H1398" s="6" t="s">
        <v>668</v>
      </c>
      <c r="I1398" s="6" t="s">
        <v>211</v>
      </c>
      <c r="J1398" s="6" t="s">
        <v>20</v>
      </c>
      <c r="K1398" s="7">
        <v>63.22</v>
      </c>
    </row>
    <row r="1399" spans="1:11" s="4" customFormat="1" ht="10.199999999999999" x14ac:dyDescent="0.2">
      <c r="A1399" s="6" t="str">
        <f t="shared" si="44"/>
        <v>0011270100</v>
      </c>
      <c r="B1399" s="6" t="str">
        <f>"173246"</f>
        <v>173246</v>
      </c>
      <c r="C1399" s="6" t="s">
        <v>675</v>
      </c>
      <c r="D1399" s="6" t="s">
        <v>22</v>
      </c>
      <c r="E1399" s="6" t="s">
        <v>13</v>
      </c>
      <c r="F1399" s="6">
        <v>98</v>
      </c>
      <c r="G1399" s="6" t="s">
        <v>667</v>
      </c>
      <c r="H1399" s="6" t="s">
        <v>668</v>
      </c>
      <c r="I1399" s="6" t="s">
        <v>37</v>
      </c>
      <c r="J1399" s="6" t="s">
        <v>20</v>
      </c>
      <c r="K1399" s="7">
        <v>63.22</v>
      </c>
    </row>
    <row r="1400" spans="1:11" s="4" customFormat="1" ht="10.199999999999999" x14ac:dyDescent="0.2">
      <c r="A1400" s="6" t="str">
        <f t="shared" si="44"/>
        <v>0011270100</v>
      </c>
      <c r="B1400" s="6" t="str">
        <f>"175369"</f>
        <v>175369</v>
      </c>
      <c r="C1400" s="6" t="s">
        <v>677</v>
      </c>
      <c r="D1400" s="6" t="s">
        <v>22</v>
      </c>
      <c r="E1400" s="6" t="s">
        <v>13</v>
      </c>
      <c r="F1400" s="6">
        <v>98</v>
      </c>
      <c r="G1400" s="6" t="s">
        <v>667</v>
      </c>
      <c r="H1400" s="6" t="s">
        <v>668</v>
      </c>
      <c r="I1400" s="6" t="s">
        <v>90</v>
      </c>
      <c r="J1400" s="6" t="s">
        <v>20</v>
      </c>
      <c r="K1400" s="7">
        <v>63.22</v>
      </c>
    </row>
    <row r="1401" spans="1:11" s="4" customFormat="1" ht="10.199999999999999" x14ac:dyDescent="0.2">
      <c r="A1401" s="6" t="str">
        <f t="shared" si="44"/>
        <v>0011270100</v>
      </c>
      <c r="B1401" s="6" t="str">
        <f>"407469"</f>
        <v>407469</v>
      </c>
      <c r="C1401" s="6" t="s">
        <v>675</v>
      </c>
      <c r="D1401" s="6" t="s">
        <v>22</v>
      </c>
      <c r="E1401" s="6" t="s">
        <v>68</v>
      </c>
      <c r="F1401" s="6">
        <v>98</v>
      </c>
      <c r="G1401" s="6" t="s">
        <v>667</v>
      </c>
      <c r="H1401" s="6" t="s">
        <v>668</v>
      </c>
      <c r="I1401" s="6" t="s">
        <v>37</v>
      </c>
      <c r="J1401" s="6" t="s">
        <v>20</v>
      </c>
      <c r="K1401" s="7">
        <v>63.22</v>
      </c>
    </row>
    <row r="1402" spans="1:11" s="4" customFormat="1" ht="10.199999999999999" x14ac:dyDescent="0.2">
      <c r="A1402" s="6" t="str">
        <f t="shared" si="44"/>
        <v>0011270100</v>
      </c>
      <c r="B1402" s="6" t="str">
        <f>"431735"</f>
        <v>431735</v>
      </c>
      <c r="C1402" s="6" t="s">
        <v>678</v>
      </c>
      <c r="D1402" s="6" t="s">
        <v>22</v>
      </c>
      <c r="E1402" s="6" t="s">
        <v>13</v>
      </c>
      <c r="F1402" s="6">
        <v>98</v>
      </c>
      <c r="G1402" s="6" t="s">
        <v>667</v>
      </c>
      <c r="H1402" s="6" t="s">
        <v>668</v>
      </c>
      <c r="I1402" s="6" t="s">
        <v>409</v>
      </c>
      <c r="J1402" s="6" t="s">
        <v>20</v>
      </c>
      <c r="K1402" s="7">
        <v>63.22</v>
      </c>
    </row>
    <row r="1403" spans="1:11" s="4" customFormat="1" ht="20.399999999999999" x14ac:dyDescent="0.2">
      <c r="A1403" s="6" t="str">
        <f t="shared" si="44"/>
        <v>0011270100</v>
      </c>
      <c r="B1403" s="6" t="str">
        <f>"528783"</f>
        <v>528783</v>
      </c>
      <c r="C1403" s="6" t="s">
        <v>673</v>
      </c>
      <c r="D1403" s="6" t="s">
        <v>22</v>
      </c>
      <c r="E1403" s="6" t="s">
        <v>68</v>
      </c>
      <c r="F1403" s="6">
        <v>98</v>
      </c>
      <c r="G1403" s="6" t="s">
        <v>667</v>
      </c>
      <c r="H1403" s="6" t="s">
        <v>668</v>
      </c>
      <c r="I1403" s="6" t="s">
        <v>124</v>
      </c>
      <c r="J1403" s="6" t="s">
        <v>20</v>
      </c>
      <c r="K1403" s="7">
        <v>63.22</v>
      </c>
    </row>
    <row r="1404" spans="1:11" s="4" customFormat="1" ht="10.199999999999999" x14ac:dyDescent="0.2">
      <c r="A1404" s="6" t="str">
        <f t="shared" si="44"/>
        <v>0011270100</v>
      </c>
      <c r="B1404" s="6" t="str">
        <f>"594593"</f>
        <v>594593</v>
      </c>
      <c r="C1404" s="6" t="s">
        <v>676</v>
      </c>
      <c r="D1404" s="6" t="s">
        <v>22</v>
      </c>
      <c r="E1404" s="6" t="s">
        <v>13</v>
      </c>
      <c r="F1404" s="6">
        <v>98</v>
      </c>
      <c r="G1404" s="6" t="s">
        <v>667</v>
      </c>
      <c r="H1404" s="6" t="s">
        <v>668</v>
      </c>
      <c r="I1404" s="6" t="s">
        <v>45</v>
      </c>
      <c r="J1404" s="6" t="s">
        <v>20</v>
      </c>
      <c r="K1404" s="7">
        <v>63.22</v>
      </c>
    </row>
    <row r="1405" spans="1:11" s="4" customFormat="1" ht="10.199999999999999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7"/>
    </row>
    <row r="1406" spans="1:11" s="4" customFormat="1" ht="10.199999999999999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7"/>
    </row>
    <row r="1407" spans="1:11" s="4" customFormat="1" ht="10.199999999999999" x14ac:dyDescent="0.2">
      <c r="A1407" s="6" t="str">
        <f>"0006490030"</f>
        <v>0006490030</v>
      </c>
      <c r="B1407" s="6" t="str">
        <f>"021721"</f>
        <v>021721</v>
      </c>
      <c r="C1407" s="6" t="s">
        <v>679</v>
      </c>
      <c r="D1407" s="6" t="s">
        <v>81</v>
      </c>
      <c r="E1407" s="6" t="s">
        <v>52</v>
      </c>
      <c r="F1407" s="6">
        <v>28</v>
      </c>
      <c r="G1407" s="6" t="s">
        <v>680</v>
      </c>
      <c r="H1407" s="6" t="s">
        <v>681</v>
      </c>
      <c r="I1407" s="6" t="s">
        <v>628</v>
      </c>
      <c r="J1407" s="6" t="s">
        <v>17</v>
      </c>
      <c r="K1407" s="7">
        <v>14.89</v>
      </c>
    </row>
    <row r="1408" spans="1:11" s="4" customFormat="1" ht="10.199999999999999" x14ac:dyDescent="0.2">
      <c r="A1408" s="6" t="str">
        <f>"0006490030"</f>
        <v>0006490030</v>
      </c>
      <c r="B1408" s="6" t="str">
        <f>"510348"</f>
        <v>510348</v>
      </c>
      <c r="C1408" s="6" t="s">
        <v>682</v>
      </c>
      <c r="D1408" s="6" t="s">
        <v>81</v>
      </c>
      <c r="E1408" s="6" t="s">
        <v>52</v>
      </c>
      <c r="F1408" s="6">
        <v>30</v>
      </c>
      <c r="G1408" s="6" t="s">
        <v>680</v>
      </c>
      <c r="H1408" s="6" t="s">
        <v>681</v>
      </c>
      <c r="I1408" s="6" t="s">
        <v>103</v>
      </c>
      <c r="J1408" s="6" t="s">
        <v>20</v>
      </c>
      <c r="K1408" s="7">
        <v>9.57</v>
      </c>
    </row>
    <row r="1409" spans="1:11" s="4" customFormat="1" ht="20.399999999999999" x14ac:dyDescent="0.2">
      <c r="A1409" s="6" t="str">
        <f>"0006490030"</f>
        <v>0006490030</v>
      </c>
      <c r="B1409" s="6" t="str">
        <f>"145799"</f>
        <v>145799</v>
      </c>
      <c r="C1409" s="6" t="s">
        <v>683</v>
      </c>
      <c r="D1409" s="6" t="s">
        <v>81</v>
      </c>
      <c r="E1409" s="6" t="s">
        <v>52</v>
      </c>
      <c r="F1409" s="6">
        <v>28</v>
      </c>
      <c r="G1409" s="6" t="s">
        <v>680</v>
      </c>
      <c r="H1409" s="6" t="s">
        <v>681</v>
      </c>
      <c r="I1409" s="6" t="s">
        <v>124</v>
      </c>
      <c r="J1409" s="6" t="s">
        <v>20</v>
      </c>
      <c r="K1409" s="7">
        <v>8.93</v>
      </c>
    </row>
    <row r="1410" spans="1:11" s="4" customFormat="1" ht="10.199999999999999" x14ac:dyDescent="0.2">
      <c r="A1410" s="6" t="str">
        <f>"0006490030"</f>
        <v>0006490030</v>
      </c>
      <c r="B1410" s="6" t="str">
        <f>"411324"</f>
        <v>411324</v>
      </c>
      <c r="C1410" s="6" t="s">
        <v>684</v>
      </c>
      <c r="D1410" s="6" t="s">
        <v>81</v>
      </c>
      <c r="E1410" s="6" t="s">
        <v>52</v>
      </c>
      <c r="F1410" s="6">
        <v>28</v>
      </c>
      <c r="G1410" s="6" t="s">
        <v>680</v>
      </c>
      <c r="H1410" s="6" t="s">
        <v>681</v>
      </c>
      <c r="I1410" s="6" t="s">
        <v>685</v>
      </c>
      <c r="J1410" s="6" t="s">
        <v>20</v>
      </c>
      <c r="K1410" s="7">
        <v>8.93</v>
      </c>
    </row>
    <row r="1411" spans="1:11" s="4" customFormat="1" ht="10.199999999999999" x14ac:dyDescent="0.2">
      <c r="A1411" s="6" t="str">
        <f>"0006490030"</f>
        <v>0006490030</v>
      </c>
      <c r="B1411" s="6" t="str">
        <f>"475529"</f>
        <v>475529</v>
      </c>
      <c r="C1411" s="6" t="s">
        <v>686</v>
      </c>
      <c r="D1411" s="6" t="s">
        <v>81</v>
      </c>
      <c r="E1411" s="6" t="s">
        <v>52</v>
      </c>
      <c r="F1411" s="6">
        <v>28</v>
      </c>
      <c r="G1411" s="6" t="s">
        <v>680</v>
      </c>
      <c r="H1411" s="6" t="s">
        <v>681</v>
      </c>
      <c r="I1411" s="6" t="s">
        <v>19</v>
      </c>
      <c r="J1411" s="6" t="s">
        <v>20</v>
      </c>
      <c r="K1411" s="7">
        <v>8.93</v>
      </c>
    </row>
    <row r="1412" spans="1:11" s="4" customFormat="1" ht="10.199999999999999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7"/>
    </row>
    <row r="1413" spans="1:11" s="4" customFormat="1" ht="10.199999999999999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7"/>
    </row>
    <row r="1414" spans="1:11" s="4" customFormat="1" ht="10.199999999999999" x14ac:dyDescent="0.2">
      <c r="A1414" s="6" t="str">
        <f>"0006500030"</f>
        <v>0006500030</v>
      </c>
      <c r="B1414" s="6" t="str">
        <f>"021967"</f>
        <v>021967</v>
      </c>
      <c r="C1414" s="6" t="s">
        <v>679</v>
      </c>
      <c r="D1414" s="6" t="s">
        <v>192</v>
      </c>
      <c r="E1414" s="6" t="s">
        <v>52</v>
      </c>
      <c r="F1414" s="6">
        <v>28</v>
      </c>
      <c r="G1414" s="6" t="s">
        <v>680</v>
      </c>
      <c r="H1414" s="6" t="s">
        <v>681</v>
      </c>
      <c r="I1414" s="6" t="s">
        <v>628</v>
      </c>
      <c r="J1414" s="6" t="s">
        <v>17</v>
      </c>
      <c r="K1414" s="7">
        <v>22.4</v>
      </c>
    </row>
    <row r="1415" spans="1:11" s="4" customFormat="1" ht="10.199999999999999" x14ac:dyDescent="0.2">
      <c r="A1415" s="6" t="str">
        <f>"0006500030"</f>
        <v>0006500030</v>
      </c>
      <c r="B1415" s="6" t="str">
        <f>"194246"</f>
        <v>194246</v>
      </c>
      <c r="C1415" s="6" t="s">
        <v>682</v>
      </c>
      <c r="D1415" s="6" t="s">
        <v>192</v>
      </c>
      <c r="E1415" s="6" t="s">
        <v>52</v>
      </c>
      <c r="F1415" s="6">
        <v>30</v>
      </c>
      <c r="G1415" s="6" t="s">
        <v>680</v>
      </c>
      <c r="H1415" s="6" t="s">
        <v>681</v>
      </c>
      <c r="I1415" s="6" t="s">
        <v>103</v>
      </c>
      <c r="J1415" s="6" t="s">
        <v>20</v>
      </c>
      <c r="K1415" s="7">
        <v>14.4</v>
      </c>
    </row>
    <row r="1416" spans="1:11" s="4" customFormat="1" ht="20.399999999999999" x14ac:dyDescent="0.2">
      <c r="A1416" s="6" t="str">
        <f>"0006500030"</f>
        <v>0006500030</v>
      </c>
      <c r="B1416" s="6" t="str">
        <f>"431814"</f>
        <v>431814</v>
      </c>
      <c r="C1416" s="6" t="s">
        <v>683</v>
      </c>
      <c r="D1416" s="6" t="s">
        <v>192</v>
      </c>
      <c r="E1416" s="6" t="s">
        <v>52</v>
      </c>
      <c r="F1416" s="6">
        <v>28</v>
      </c>
      <c r="G1416" s="6" t="s">
        <v>680</v>
      </c>
      <c r="H1416" s="6" t="s">
        <v>681</v>
      </c>
      <c r="I1416" s="6" t="s">
        <v>124</v>
      </c>
      <c r="J1416" s="6" t="s">
        <v>20</v>
      </c>
      <c r="K1416" s="7">
        <v>13.44</v>
      </c>
    </row>
    <row r="1417" spans="1:11" s="4" customFormat="1" ht="10.199999999999999" x14ac:dyDescent="0.2">
      <c r="A1417" s="6" t="str">
        <f>"0006500030"</f>
        <v>0006500030</v>
      </c>
      <c r="B1417" s="6" t="str">
        <f>"491695"</f>
        <v>491695</v>
      </c>
      <c r="C1417" s="6" t="s">
        <v>684</v>
      </c>
      <c r="D1417" s="6" t="s">
        <v>192</v>
      </c>
      <c r="E1417" s="6" t="s">
        <v>52</v>
      </c>
      <c r="F1417" s="6">
        <v>28</v>
      </c>
      <c r="G1417" s="6" t="s">
        <v>680</v>
      </c>
      <c r="H1417" s="6" t="s">
        <v>681</v>
      </c>
      <c r="I1417" s="6" t="s">
        <v>685</v>
      </c>
      <c r="J1417" s="6" t="s">
        <v>20</v>
      </c>
      <c r="K1417" s="7">
        <v>13.44</v>
      </c>
    </row>
    <row r="1418" spans="1:11" s="4" customFormat="1" ht="10.199999999999999" x14ac:dyDescent="0.2">
      <c r="A1418" s="6" t="str">
        <f>"0006500030"</f>
        <v>0006500030</v>
      </c>
      <c r="B1418" s="6" t="str">
        <f>"545524"</f>
        <v>545524</v>
      </c>
      <c r="C1418" s="6" t="s">
        <v>686</v>
      </c>
      <c r="D1418" s="6" t="s">
        <v>192</v>
      </c>
      <c r="E1418" s="6" t="s">
        <v>52</v>
      </c>
      <c r="F1418" s="6">
        <v>28</v>
      </c>
      <c r="G1418" s="6" t="s">
        <v>680</v>
      </c>
      <c r="H1418" s="6" t="s">
        <v>681</v>
      </c>
      <c r="I1418" s="6" t="s">
        <v>19</v>
      </c>
      <c r="J1418" s="6" t="s">
        <v>20</v>
      </c>
      <c r="K1418" s="7">
        <v>13.44</v>
      </c>
    </row>
    <row r="1419" spans="1:11" s="4" customFormat="1" ht="10.199999999999999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7"/>
    </row>
    <row r="1420" spans="1:11" s="4" customFormat="1" ht="10.199999999999999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7"/>
    </row>
    <row r="1421" spans="1:11" s="4" customFormat="1" ht="10.199999999999999" x14ac:dyDescent="0.2">
      <c r="A1421" s="6" t="str">
        <f>"0016260030"</f>
        <v>0016260030</v>
      </c>
      <c r="B1421" s="6" t="str">
        <f>"025301"</f>
        <v>025301</v>
      </c>
      <c r="C1421" s="6" t="s">
        <v>687</v>
      </c>
      <c r="D1421" s="6" t="s">
        <v>22</v>
      </c>
      <c r="E1421" s="6" t="s">
        <v>52</v>
      </c>
      <c r="F1421" s="6">
        <v>28</v>
      </c>
      <c r="G1421" s="6" t="s">
        <v>680</v>
      </c>
      <c r="H1421" s="6" t="s">
        <v>681</v>
      </c>
      <c r="I1421" s="6" t="s">
        <v>628</v>
      </c>
      <c r="J1421" s="6" t="s">
        <v>17</v>
      </c>
      <c r="K1421" s="7">
        <v>19.829999999999998</v>
      </c>
    </row>
    <row r="1422" spans="1:11" s="4" customFormat="1" ht="10.199999999999999" x14ac:dyDescent="0.2">
      <c r="A1422" s="6" t="str">
        <f>"0016260030"</f>
        <v>0016260030</v>
      </c>
      <c r="B1422" s="6" t="str">
        <f>"199099"</f>
        <v>199099</v>
      </c>
      <c r="C1422" s="6" t="s">
        <v>688</v>
      </c>
      <c r="D1422" s="6" t="s">
        <v>22</v>
      </c>
      <c r="E1422" s="6" t="s">
        <v>52</v>
      </c>
      <c r="F1422" s="6">
        <v>28</v>
      </c>
      <c r="G1422" s="6" t="s">
        <v>680</v>
      </c>
      <c r="H1422" s="6" t="s">
        <v>681</v>
      </c>
      <c r="I1422" s="6" t="s">
        <v>103</v>
      </c>
      <c r="J1422" s="6" t="s">
        <v>20</v>
      </c>
      <c r="K1422" s="7">
        <v>11.9</v>
      </c>
    </row>
    <row r="1423" spans="1:11" s="4" customFormat="1" ht="10.199999999999999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7"/>
    </row>
    <row r="1424" spans="1:11" s="4" customFormat="1" ht="10.199999999999999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7"/>
    </row>
    <row r="1425" spans="1:11" s="4" customFormat="1" ht="10.199999999999999" x14ac:dyDescent="0.2">
      <c r="A1425" s="6" t="str">
        <f>"0016270056"</f>
        <v>0016270056</v>
      </c>
      <c r="B1425" s="6" t="str">
        <f>"019469"</f>
        <v>019469</v>
      </c>
      <c r="C1425" s="6" t="s">
        <v>687</v>
      </c>
      <c r="D1425" s="6" t="s">
        <v>33</v>
      </c>
      <c r="E1425" s="6" t="s">
        <v>52</v>
      </c>
      <c r="F1425" s="6">
        <v>56</v>
      </c>
      <c r="G1425" s="6" t="s">
        <v>680</v>
      </c>
      <c r="H1425" s="6" t="s">
        <v>681</v>
      </c>
      <c r="I1425" s="6" t="s">
        <v>628</v>
      </c>
      <c r="J1425" s="6" t="s">
        <v>17</v>
      </c>
      <c r="K1425" s="7">
        <v>39.65</v>
      </c>
    </row>
    <row r="1426" spans="1:11" s="4" customFormat="1" ht="10.199999999999999" x14ac:dyDescent="0.2">
      <c r="A1426" s="6" t="str">
        <f>"0016270056"</f>
        <v>0016270056</v>
      </c>
      <c r="B1426" s="6" t="str">
        <f>"454335"</f>
        <v>454335</v>
      </c>
      <c r="C1426" s="6" t="s">
        <v>688</v>
      </c>
      <c r="D1426" s="6" t="s">
        <v>33</v>
      </c>
      <c r="E1426" s="6" t="s">
        <v>52</v>
      </c>
      <c r="F1426" s="6">
        <v>56</v>
      </c>
      <c r="G1426" s="6" t="s">
        <v>680</v>
      </c>
      <c r="H1426" s="6" t="s">
        <v>681</v>
      </c>
      <c r="I1426" s="6" t="s">
        <v>103</v>
      </c>
      <c r="J1426" s="6" t="s">
        <v>20</v>
      </c>
      <c r="K1426" s="7">
        <v>23.79</v>
      </c>
    </row>
    <row r="1427" spans="1:11" s="4" customFormat="1" ht="10.199999999999999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7"/>
    </row>
    <row r="1428" spans="1:11" s="4" customFormat="1" ht="10.199999999999999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7"/>
    </row>
    <row r="1429" spans="1:11" s="4" customFormat="1" ht="20.399999999999999" x14ac:dyDescent="0.2">
      <c r="A1429" s="6" t="str">
        <f>"0015690030"</f>
        <v>0015690030</v>
      </c>
      <c r="B1429" s="6" t="str">
        <f>"011489"</f>
        <v>011489</v>
      </c>
      <c r="C1429" s="6" t="s">
        <v>689</v>
      </c>
      <c r="D1429" s="6" t="s">
        <v>690</v>
      </c>
      <c r="E1429" s="6" t="s">
        <v>135</v>
      </c>
      <c r="F1429" s="6">
        <v>30</v>
      </c>
      <c r="G1429" s="6" t="s">
        <v>691</v>
      </c>
      <c r="H1429" s="6" t="s">
        <v>692</v>
      </c>
      <c r="I1429" s="6" t="s">
        <v>693</v>
      </c>
      <c r="J1429" s="6" t="s">
        <v>17</v>
      </c>
      <c r="K1429" s="7">
        <v>34.229999999999997</v>
      </c>
    </row>
    <row r="1430" spans="1:11" s="4" customFormat="1" ht="20.399999999999999" x14ac:dyDescent="0.2">
      <c r="A1430" s="6" t="str">
        <f>"0015690030"</f>
        <v>0015690030</v>
      </c>
      <c r="B1430" s="6" t="str">
        <f>"130449"</f>
        <v>130449</v>
      </c>
      <c r="C1430" s="6" t="s">
        <v>694</v>
      </c>
      <c r="D1430" s="6" t="s">
        <v>690</v>
      </c>
      <c r="E1430" s="6" t="s">
        <v>135</v>
      </c>
      <c r="F1430" s="6">
        <v>30</v>
      </c>
      <c r="G1430" s="6" t="s">
        <v>691</v>
      </c>
      <c r="H1430" s="6" t="s">
        <v>692</v>
      </c>
      <c r="I1430" s="6" t="s">
        <v>37</v>
      </c>
      <c r="J1430" s="6" t="s">
        <v>20</v>
      </c>
      <c r="K1430" s="7">
        <v>20.54</v>
      </c>
    </row>
    <row r="1431" spans="1:11" s="4" customFormat="1" ht="20.399999999999999" x14ac:dyDescent="0.2">
      <c r="A1431" s="6" t="str">
        <f>"0015690030"</f>
        <v>0015690030</v>
      </c>
      <c r="B1431" s="6" t="str">
        <f>"507819"</f>
        <v>507819</v>
      </c>
      <c r="C1431" s="6" t="s">
        <v>695</v>
      </c>
      <c r="D1431" s="6" t="s">
        <v>690</v>
      </c>
      <c r="E1431" s="6" t="s">
        <v>135</v>
      </c>
      <c r="F1431" s="6">
        <v>30</v>
      </c>
      <c r="G1431" s="6" t="s">
        <v>691</v>
      </c>
      <c r="H1431" s="6" t="s">
        <v>692</v>
      </c>
      <c r="I1431" s="6" t="s">
        <v>30</v>
      </c>
      <c r="J1431" s="6" t="s">
        <v>20</v>
      </c>
      <c r="K1431" s="7">
        <v>20.54</v>
      </c>
    </row>
    <row r="1432" spans="1:11" s="4" customFormat="1" ht="10.199999999999999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7"/>
    </row>
    <row r="1433" spans="1:11" s="4" customFormat="1" ht="10.199999999999999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7"/>
    </row>
    <row r="1434" spans="1:11" s="4" customFormat="1" ht="20.399999999999999" x14ac:dyDescent="0.2">
      <c r="A1434" s="6" t="str">
        <f>"0015700030"</f>
        <v>0015700030</v>
      </c>
      <c r="B1434" s="6" t="str">
        <f>"132663"</f>
        <v>132663</v>
      </c>
      <c r="C1434" s="6" t="s">
        <v>689</v>
      </c>
      <c r="D1434" s="6" t="s">
        <v>696</v>
      </c>
      <c r="E1434" s="6" t="s">
        <v>135</v>
      </c>
      <c r="F1434" s="6">
        <v>30</v>
      </c>
      <c r="G1434" s="6" t="s">
        <v>691</v>
      </c>
      <c r="H1434" s="6" t="s">
        <v>692</v>
      </c>
      <c r="I1434" s="6" t="s">
        <v>693</v>
      </c>
      <c r="J1434" s="6" t="s">
        <v>17</v>
      </c>
      <c r="K1434" s="7">
        <v>40.72</v>
      </c>
    </row>
    <row r="1435" spans="1:11" s="4" customFormat="1" ht="20.399999999999999" x14ac:dyDescent="0.2">
      <c r="A1435" s="6" t="str">
        <f>"0015700030"</f>
        <v>0015700030</v>
      </c>
      <c r="B1435" s="6" t="str">
        <f>"597783"</f>
        <v>597783</v>
      </c>
      <c r="C1435" s="6" t="s">
        <v>694</v>
      </c>
      <c r="D1435" s="6" t="s">
        <v>696</v>
      </c>
      <c r="E1435" s="6" t="s">
        <v>135</v>
      </c>
      <c r="F1435" s="6">
        <v>30</v>
      </c>
      <c r="G1435" s="6" t="s">
        <v>691</v>
      </c>
      <c r="H1435" s="6" t="s">
        <v>692</v>
      </c>
      <c r="I1435" s="6" t="s">
        <v>37</v>
      </c>
      <c r="J1435" s="6" t="s">
        <v>20</v>
      </c>
      <c r="K1435" s="7">
        <v>24.43</v>
      </c>
    </row>
    <row r="1436" spans="1:11" s="4" customFormat="1" ht="10.199999999999999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7"/>
    </row>
    <row r="1437" spans="1:11" s="4" customFormat="1" ht="10.199999999999999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7"/>
    </row>
    <row r="1438" spans="1:11" s="4" customFormat="1" ht="20.399999999999999" x14ac:dyDescent="0.2">
      <c r="A1438" s="6" t="str">
        <f>"0015710030"</f>
        <v>0015710030</v>
      </c>
      <c r="B1438" s="6" t="str">
        <f>"011555"</f>
        <v>011555</v>
      </c>
      <c r="C1438" s="6" t="s">
        <v>689</v>
      </c>
      <c r="D1438" s="6" t="s">
        <v>697</v>
      </c>
      <c r="E1438" s="6" t="s">
        <v>135</v>
      </c>
      <c r="F1438" s="6">
        <v>30</v>
      </c>
      <c r="G1438" s="6" t="s">
        <v>691</v>
      </c>
      <c r="H1438" s="6" t="s">
        <v>692</v>
      </c>
      <c r="I1438" s="6" t="s">
        <v>693</v>
      </c>
      <c r="J1438" s="6" t="s">
        <v>17</v>
      </c>
      <c r="K1438" s="7">
        <v>44.05</v>
      </c>
    </row>
    <row r="1439" spans="1:11" s="4" customFormat="1" ht="20.399999999999999" x14ac:dyDescent="0.2">
      <c r="A1439" s="6" t="str">
        <f>"0015710030"</f>
        <v>0015710030</v>
      </c>
      <c r="B1439" s="6" t="str">
        <f>"416799"</f>
        <v>416799</v>
      </c>
      <c r="C1439" s="6" t="s">
        <v>695</v>
      </c>
      <c r="D1439" s="6" t="s">
        <v>697</v>
      </c>
      <c r="E1439" s="6" t="s">
        <v>135</v>
      </c>
      <c r="F1439" s="6">
        <v>30</v>
      </c>
      <c r="G1439" s="6" t="s">
        <v>691</v>
      </c>
      <c r="H1439" s="6" t="s">
        <v>692</v>
      </c>
      <c r="I1439" s="6" t="s">
        <v>30</v>
      </c>
      <c r="J1439" s="6" t="s">
        <v>20</v>
      </c>
      <c r="K1439" s="7">
        <v>26.43</v>
      </c>
    </row>
    <row r="1440" spans="1:11" s="4" customFormat="1" ht="20.399999999999999" x14ac:dyDescent="0.2">
      <c r="A1440" s="6" t="str">
        <f>"0015710030"</f>
        <v>0015710030</v>
      </c>
      <c r="B1440" s="6" t="str">
        <f>"443615"</f>
        <v>443615</v>
      </c>
      <c r="C1440" s="6" t="s">
        <v>694</v>
      </c>
      <c r="D1440" s="6" t="s">
        <v>697</v>
      </c>
      <c r="E1440" s="6" t="s">
        <v>135</v>
      </c>
      <c r="F1440" s="6">
        <v>30</v>
      </c>
      <c r="G1440" s="6" t="s">
        <v>691</v>
      </c>
      <c r="H1440" s="6" t="s">
        <v>692</v>
      </c>
      <c r="I1440" s="6" t="s">
        <v>37</v>
      </c>
      <c r="J1440" s="6" t="s">
        <v>20</v>
      </c>
      <c r="K1440" s="7">
        <v>26.43</v>
      </c>
    </row>
    <row r="1441" spans="1:11" s="4" customFormat="1" ht="10.199999999999999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7"/>
    </row>
    <row r="1442" spans="1:11" s="4" customFormat="1" ht="10.199999999999999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7"/>
    </row>
    <row r="1443" spans="1:11" s="4" customFormat="1" ht="20.399999999999999" x14ac:dyDescent="0.2">
      <c r="A1443" s="6" t="str">
        <f>"0015720030"</f>
        <v>0015720030</v>
      </c>
      <c r="B1443" s="6" t="str">
        <f>"012326"</f>
        <v>012326</v>
      </c>
      <c r="C1443" s="6" t="s">
        <v>689</v>
      </c>
      <c r="D1443" s="6" t="s">
        <v>698</v>
      </c>
      <c r="E1443" s="6" t="s">
        <v>135</v>
      </c>
      <c r="F1443" s="6">
        <v>30</v>
      </c>
      <c r="G1443" s="6" t="s">
        <v>691</v>
      </c>
      <c r="H1443" s="6" t="s">
        <v>692</v>
      </c>
      <c r="I1443" s="6" t="s">
        <v>693</v>
      </c>
      <c r="J1443" s="6" t="s">
        <v>17</v>
      </c>
      <c r="K1443" s="7">
        <v>56.66</v>
      </c>
    </row>
    <row r="1444" spans="1:11" s="4" customFormat="1" ht="20.399999999999999" x14ac:dyDescent="0.2">
      <c r="A1444" s="6" t="str">
        <f>"0015720030"</f>
        <v>0015720030</v>
      </c>
      <c r="B1444" s="6" t="str">
        <f>"103599"</f>
        <v>103599</v>
      </c>
      <c r="C1444" s="6" t="s">
        <v>694</v>
      </c>
      <c r="D1444" s="6" t="s">
        <v>698</v>
      </c>
      <c r="E1444" s="6" t="s">
        <v>135</v>
      </c>
      <c r="F1444" s="6">
        <v>30</v>
      </c>
      <c r="G1444" s="6" t="s">
        <v>691</v>
      </c>
      <c r="H1444" s="6" t="s">
        <v>692</v>
      </c>
      <c r="I1444" s="6" t="s">
        <v>37</v>
      </c>
      <c r="J1444" s="6" t="s">
        <v>20</v>
      </c>
      <c r="K1444" s="7">
        <v>34</v>
      </c>
    </row>
    <row r="1445" spans="1:11" s="4" customFormat="1" ht="20.399999999999999" x14ac:dyDescent="0.2">
      <c r="A1445" s="6" t="str">
        <f>"0015720030"</f>
        <v>0015720030</v>
      </c>
      <c r="B1445" s="6" t="str">
        <f>"429473"</f>
        <v>429473</v>
      </c>
      <c r="C1445" s="6" t="s">
        <v>695</v>
      </c>
      <c r="D1445" s="6" t="s">
        <v>698</v>
      </c>
      <c r="E1445" s="6" t="s">
        <v>135</v>
      </c>
      <c r="F1445" s="6">
        <v>30</v>
      </c>
      <c r="G1445" s="6" t="s">
        <v>691</v>
      </c>
      <c r="H1445" s="6" t="s">
        <v>692</v>
      </c>
      <c r="I1445" s="6" t="s">
        <v>30</v>
      </c>
      <c r="J1445" s="6" t="s">
        <v>20</v>
      </c>
      <c r="K1445" s="7">
        <v>34</v>
      </c>
    </row>
    <row r="1446" spans="1:11" s="4" customFormat="1" ht="10.199999999999999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7"/>
    </row>
    <row r="1447" spans="1:11" s="4" customFormat="1" ht="10.199999999999999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7"/>
    </row>
    <row r="1448" spans="1:11" s="4" customFormat="1" ht="10.199999999999999" x14ac:dyDescent="0.2">
      <c r="A1448" s="6" t="str">
        <f t="shared" ref="A1448:A1453" si="45">"0005690030"</f>
        <v>0005690030</v>
      </c>
      <c r="B1448" s="6" t="str">
        <f>"454439"</f>
        <v>454439</v>
      </c>
      <c r="C1448" s="6" t="s">
        <v>699</v>
      </c>
      <c r="D1448" s="6" t="s">
        <v>174</v>
      </c>
      <c r="E1448" s="6" t="s">
        <v>13</v>
      </c>
      <c r="F1448" s="6">
        <v>28</v>
      </c>
      <c r="G1448" s="6" t="s">
        <v>700</v>
      </c>
      <c r="H1448" s="6" t="s">
        <v>701</v>
      </c>
      <c r="I1448" s="6" t="s">
        <v>375</v>
      </c>
      <c r="J1448" s="6" t="s">
        <v>17</v>
      </c>
      <c r="K1448" s="7">
        <v>71.680000000000007</v>
      </c>
    </row>
    <row r="1449" spans="1:11" s="4" customFormat="1" ht="10.199999999999999" x14ac:dyDescent="0.2">
      <c r="A1449" s="6" t="str">
        <f t="shared" si="45"/>
        <v>0005690030</v>
      </c>
      <c r="B1449" s="6" t="str">
        <f>"027270"</f>
        <v>027270</v>
      </c>
      <c r="C1449" s="6" t="s">
        <v>702</v>
      </c>
      <c r="D1449" s="6" t="s">
        <v>174</v>
      </c>
      <c r="E1449" s="6" t="s">
        <v>13</v>
      </c>
      <c r="F1449" s="6">
        <v>30</v>
      </c>
      <c r="G1449" s="6" t="s">
        <v>700</v>
      </c>
      <c r="H1449" s="6" t="s">
        <v>701</v>
      </c>
      <c r="I1449" s="6" t="s">
        <v>35</v>
      </c>
      <c r="J1449" s="6" t="s">
        <v>20</v>
      </c>
      <c r="K1449" s="7">
        <v>49.23</v>
      </c>
    </row>
    <row r="1450" spans="1:11" s="4" customFormat="1" ht="10.199999999999999" x14ac:dyDescent="0.2">
      <c r="A1450" s="6" t="str">
        <f t="shared" si="45"/>
        <v>0005690030</v>
      </c>
      <c r="B1450" s="6" t="str">
        <f>"135096"</f>
        <v>135096</v>
      </c>
      <c r="C1450" s="6" t="s">
        <v>703</v>
      </c>
      <c r="D1450" s="6" t="s">
        <v>174</v>
      </c>
      <c r="E1450" s="6" t="s">
        <v>13</v>
      </c>
      <c r="F1450" s="6">
        <v>30</v>
      </c>
      <c r="G1450" s="6" t="s">
        <v>700</v>
      </c>
      <c r="H1450" s="6" t="s">
        <v>701</v>
      </c>
      <c r="I1450" s="6" t="s">
        <v>28</v>
      </c>
      <c r="J1450" s="6" t="s">
        <v>20</v>
      </c>
      <c r="K1450" s="7">
        <v>49.23</v>
      </c>
    </row>
    <row r="1451" spans="1:11" s="4" customFormat="1" ht="10.199999999999999" x14ac:dyDescent="0.2">
      <c r="A1451" s="6" t="str">
        <f t="shared" si="45"/>
        <v>0005690030</v>
      </c>
      <c r="B1451" s="6" t="str">
        <f>"069343"</f>
        <v>069343</v>
      </c>
      <c r="C1451" s="6" t="s">
        <v>704</v>
      </c>
      <c r="D1451" s="6" t="s">
        <v>174</v>
      </c>
      <c r="E1451" s="6" t="s">
        <v>13</v>
      </c>
      <c r="F1451" s="6">
        <v>28</v>
      </c>
      <c r="G1451" s="6" t="s">
        <v>700</v>
      </c>
      <c r="H1451" s="6" t="s">
        <v>701</v>
      </c>
      <c r="I1451" s="6" t="s">
        <v>114</v>
      </c>
      <c r="J1451" s="6" t="s">
        <v>20</v>
      </c>
      <c r="K1451" s="7">
        <v>45.95</v>
      </c>
    </row>
    <row r="1452" spans="1:11" s="4" customFormat="1" ht="10.199999999999999" x14ac:dyDescent="0.2">
      <c r="A1452" s="6" t="str">
        <f t="shared" si="45"/>
        <v>0005690030</v>
      </c>
      <c r="B1452" s="6" t="str">
        <f>"119491"</f>
        <v>119491</v>
      </c>
      <c r="C1452" s="6" t="s">
        <v>705</v>
      </c>
      <c r="D1452" s="6" t="s">
        <v>174</v>
      </c>
      <c r="E1452" s="6" t="s">
        <v>13</v>
      </c>
      <c r="F1452" s="6">
        <v>28</v>
      </c>
      <c r="G1452" s="6" t="s">
        <v>700</v>
      </c>
      <c r="H1452" s="6" t="s">
        <v>701</v>
      </c>
      <c r="I1452" s="6" t="s">
        <v>90</v>
      </c>
      <c r="J1452" s="6" t="s">
        <v>20</v>
      </c>
      <c r="K1452" s="7">
        <v>45.95</v>
      </c>
    </row>
    <row r="1453" spans="1:11" s="4" customFormat="1" ht="20.399999999999999" x14ac:dyDescent="0.2">
      <c r="A1453" s="6" t="str">
        <f t="shared" si="45"/>
        <v>0005690030</v>
      </c>
      <c r="B1453" s="6" t="str">
        <f>"172120"</f>
        <v>172120</v>
      </c>
      <c r="C1453" s="6" t="s">
        <v>706</v>
      </c>
      <c r="D1453" s="6" t="s">
        <v>174</v>
      </c>
      <c r="E1453" s="6" t="s">
        <v>13</v>
      </c>
      <c r="F1453" s="6">
        <v>28</v>
      </c>
      <c r="G1453" s="6" t="s">
        <v>700</v>
      </c>
      <c r="H1453" s="6" t="s">
        <v>701</v>
      </c>
      <c r="I1453" s="6" t="s">
        <v>124</v>
      </c>
      <c r="J1453" s="6" t="s">
        <v>20</v>
      </c>
      <c r="K1453" s="7">
        <v>45.95</v>
      </c>
    </row>
    <row r="1454" spans="1:11" s="4" customFormat="1" ht="10.199999999999999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7"/>
    </row>
    <row r="1455" spans="1:11" s="4" customFormat="1" ht="10.199999999999999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7"/>
    </row>
    <row r="1456" spans="1:11" s="4" customFormat="1" ht="10.199999999999999" x14ac:dyDescent="0.2">
      <c r="A1456" s="6" t="str">
        <f t="shared" ref="A1456:A1462" si="46">"0005690100"</f>
        <v>0005690100</v>
      </c>
      <c r="B1456" s="6" t="str">
        <f>"454454"</f>
        <v>454454</v>
      </c>
      <c r="C1456" s="6" t="s">
        <v>699</v>
      </c>
      <c r="D1456" s="6" t="s">
        <v>174</v>
      </c>
      <c r="E1456" s="6" t="s">
        <v>13</v>
      </c>
      <c r="F1456" s="6">
        <v>98</v>
      </c>
      <c r="G1456" s="6" t="s">
        <v>700</v>
      </c>
      <c r="H1456" s="6" t="s">
        <v>701</v>
      </c>
      <c r="I1456" s="6" t="s">
        <v>375</v>
      </c>
      <c r="J1456" s="6" t="s">
        <v>17</v>
      </c>
      <c r="K1456" s="7">
        <v>250.87</v>
      </c>
    </row>
    <row r="1457" spans="1:11" s="4" customFormat="1" ht="10.199999999999999" x14ac:dyDescent="0.2">
      <c r="A1457" s="6" t="str">
        <f t="shared" si="46"/>
        <v>0005690100</v>
      </c>
      <c r="B1457" s="6" t="str">
        <f>"027281"</f>
        <v>027281</v>
      </c>
      <c r="C1457" s="6" t="s">
        <v>702</v>
      </c>
      <c r="D1457" s="6" t="s">
        <v>174</v>
      </c>
      <c r="E1457" s="6" t="s">
        <v>13</v>
      </c>
      <c r="F1457" s="6">
        <v>100</v>
      </c>
      <c r="G1457" s="6" t="s">
        <v>700</v>
      </c>
      <c r="H1457" s="6" t="s">
        <v>701</v>
      </c>
      <c r="I1457" s="6" t="s">
        <v>35</v>
      </c>
      <c r="J1457" s="6" t="s">
        <v>20</v>
      </c>
      <c r="K1457" s="7">
        <v>153.83000000000001</v>
      </c>
    </row>
    <row r="1458" spans="1:11" s="4" customFormat="1" ht="10.199999999999999" x14ac:dyDescent="0.2">
      <c r="A1458" s="6" t="str">
        <f t="shared" si="46"/>
        <v>0005690100</v>
      </c>
      <c r="B1458" s="6" t="str">
        <f>"135107"</f>
        <v>135107</v>
      </c>
      <c r="C1458" s="6" t="s">
        <v>703</v>
      </c>
      <c r="D1458" s="6" t="s">
        <v>174</v>
      </c>
      <c r="E1458" s="6" t="s">
        <v>13</v>
      </c>
      <c r="F1458" s="6">
        <v>100</v>
      </c>
      <c r="G1458" s="6" t="s">
        <v>700</v>
      </c>
      <c r="H1458" s="6" t="s">
        <v>701</v>
      </c>
      <c r="I1458" s="6" t="s">
        <v>28</v>
      </c>
      <c r="J1458" s="6" t="s">
        <v>20</v>
      </c>
      <c r="K1458" s="7">
        <v>153.83000000000001</v>
      </c>
    </row>
    <row r="1459" spans="1:11" s="4" customFormat="1" ht="10.199999999999999" x14ac:dyDescent="0.2">
      <c r="A1459" s="6" t="str">
        <f t="shared" si="46"/>
        <v>0005690100</v>
      </c>
      <c r="B1459" s="6" t="str">
        <f>"069365"</f>
        <v>069365</v>
      </c>
      <c r="C1459" s="6" t="s">
        <v>704</v>
      </c>
      <c r="D1459" s="6" t="s">
        <v>174</v>
      </c>
      <c r="E1459" s="6" t="s">
        <v>13</v>
      </c>
      <c r="F1459" s="6">
        <v>98</v>
      </c>
      <c r="G1459" s="6" t="s">
        <v>700</v>
      </c>
      <c r="H1459" s="6" t="s">
        <v>701</v>
      </c>
      <c r="I1459" s="6" t="s">
        <v>114</v>
      </c>
      <c r="J1459" s="6" t="s">
        <v>20</v>
      </c>
      <c r="K1459" s="7">
        <v>150.75</v>
      </c>
    </row>
    <row r="1460" spans="1:11" s="4" customFormat="1" ht="10.199999999999999" x14ac:dyDescent="0.2">
      <c r="A1460" s="6" t="str">
        <f t="shared" si="46"/>
        <v>0005690100</v>
      </c>
      <c r="B1460" s="6" t="str">
        <f>"446712"</f>
        <v>446712</v>
      </c>
      <c r="C1460" s="6" t="s">
        <v>705</v>
      </c>
      <c r="D1460" s="6" t="s">
        <v>174</v>
      </c>
      <c r="E1460" s="6" t="s">
        <v>13</v>
      </c>
      <c r="F1460" s="6">
        <v>98</v>
      </c>
      <c r="G1460" s="6" t="s">
        <v>700</v>
      </c>
      <c r="H1460" s="6" t="s">
        <v>701</v>
      </c>
      <c r="I1460" s="6" t="s">
        <v>90</v>
      </c>
      <c r="J1460" s="6" t="s">
        <v>20</v>
      </c>
      <c r="K1460" s="7">
        <v>150.75</v>
      </c>
    </row>
    <row r="1461" spans="1:11" s="4" customFormat="1" ht="10.199999999999999" x14ac:dyDescent="0.2">
      <c r="A1461" s="6" t="str">
        <f t="shared" si="46"/>
        <v>0005690100</v>
      </c>
      <c r="B1461" s="6" t="str">
        <f>"501794"</f>
        <v>501794</v>
      </c>
      <c r="C1461" s="6" t="s">
        <v>707</v>
      </c>
      <c r="D1461" s="6" t="s">
        <v>174</v>
      </c>
      <c r="E1461" s="6" t="s">
        <v>13</v>
      </c>
      <c r="F1461" s="6">
        <v>98</v>
      </c>
      <c r="G1461" s="6" t="s">
        <v>700</v>
      </c>
      <c r="H1461" s="6" t="s">
        <v>701</v>
      </c>
      <c r="I1461" s="6" t="s">
        <v>648</v>
      </c>
      <c r="J1461" s="6" t="s">
        <v>20</v>
      </c>
      <c r="K1461" s="7">
        <v>150.75</v>
      </c>
    </row>
    <row r="1462" spans="1:11" s="4" customFormat="1" ht="20.399999999999999" x14ac:dyDescent="0.2">
      <c r="A1462" s="6" t="str">
        <f t="shared" si="46"/>
        <v>0005690100</v>
      </c>
      <c r="B1462" s="6" t="str">
        <f>"554126"</f>
        <v>554126</v>
      </c>
      <c r="C1462" s="6" t="s">
        <v>706</v>
      </c>
      <c r="D1462" s="6" t="s">
        <v>174</v>
      </c>
      <c r="E1462" s="6" t="s">
        <v>13</v>
      </c>
      <c r="F1462" s="6">
        <v>98</v>
      </c>
      <c r="G1462" s="6" t="s">
        <v>700</v>
      </c>
      <c r="H1462" s="6" t="s">
        <v>701</v>
      </c>
      <c r="I1462" s="6" t="s">
        <v>124</v>
      </c>
      <c r="J1462" s="6" t="s">
        <v>20</v>
      </c>
      <c r="K1462" s="7">
        <v>150.75</v>
      </c>
    </row>
    <row r="1463" spans="1:11" s="4" customFormat="1" ht="10.199999999999999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7"/>
    </row>
    <row r="1464" spans="1:11" s="4" customFormat="1" ht="10.199999999999999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7"/>
    </row>
    <row r="1465" spans="1:11" s="4" customFormat="1" ht="10.199999999999999" x14ac:dyDescent="0.2">
      <c r="A1465" s="6" t="str">
        <f>"0005700030"</f>
        <v>0005700030</v>
      </c>
      <c r="B1465" s="6" t="str">
        <f>"454678"</f>
        <v>454678</v>
      </c>
      <c r="C1465" s="6" t="s">
        <v>699</v>
      </c>
      <c r="D1465" s="6" t="s">
        <v>39</v>
      </c>
      <c r="E1465" s="6" t="s">
        <v>13</v>
      </c>
      <c r="F1465" s="6">
        <v>28</v>
      </c>
      <c r="G1465" s="6" t="s">
        <v>700</v>
      </c>
      <c r="H1465" s="6" t="s">
        <v>701</v>
      </c>
      <c r="I1465" s="6" t="s">
        <v>375</v>
      </c>
      <c r="J1465" s="6" t="s">
        <v>17</v>
      </c>
      <c r="K1465" s="7">
        <v>81.69</v>
      </c>
    </row>
    <row r="1466" spans="1:11" s="4" customFormat="1" ht="10.199999999999999" x14ac:dyDescent="0.2">
      <c r="A1466" s="6" t="str">
        <f>"0005700030"</f>
        <v>0005700030</v>
      </c>
      <c r="B1466" s="6" t="str">
        <f>"135118"</f>
        <v>135118</v>
      </c>
      <c r="C1466" s="6" t="s">
        <v>703</v>
      </c>
      <c r="D1466" s="6" t="s">
        <v>39</v>
      </c>
      <c r="E1466" s="6" t="s">
        <v>13</v>
      </c>
      <c r="F1466" s="6">
        <v>30</v>
      </c>
      <c r="G1466" s="6" t="s">
        <v>700</v>
      </c>
      <c r="H1466" s="6" t="s">
        <v>701</v>
      </c>
      <c r="I1466" s="6" t="s">
        <v>28</v>
      </c>
      <c r="J1466" s="6" t="s">
        <v>20</v>
      </c>
      <c r="K1466" s="7">
        <v>55.01</v>
      </c>
    </row>
    <row r="1467" spans="1:11" s="4" customFormat="1" ht="10.199999999999999" x14ac:dyDescent="0.2">
      <c r="A1467" s="6" t="str">
        <f>"0005700030"</f>
        <v>0005700030</v>
      </c>
      <c r="B1467" s="6" t="str">
        <f>"069376"</f>
        <v>069376</v>
      </c>
      <c r="C1467" s="6" t="s">
        <v>704</v>
      </c>
      <c r="D1467" s="6" t="s">
        <v>39</v>
      </c>
      <c r="E1467" s="6" t="s">
        <v>13</v>
      </c>
      <c r="F1467" s="6">
        <v>28</v>
      </c>
      <c r="G1467" s="6" t="s">
        <v>700</v>
      </c>
      <c r="H1467" s="6" t="s">
        <v>701</v>
      </c>
      <c r="I1467" s="6" t="s">
        <v>114</v>
      </c>
      <c r="J1467" s="6" t="s">
        <v>20</v>
      </c>
      <c r="K1467" s="7">
        <v>51.34</v>
      </c>
    </row>
    <row r="1468" spans="1:11" s="4" customFormat="1" ht="20.399999999999999" x14ac:dyDescent="0.2">
      <c r="A1468" s="6" t="str">
        <f>"0005700030"</f>
        <v>0005700030</v>
      </c>
      <c r="B1468" s="6" t="str">
        <f>"121492"</f>
        <v>121492</v>
      </c>
      <c r="C1468" s="6" t="s">
        <v>706</v>
      </c>
      <c r="D1468" s="6" t="s">
        <v>39</v>
      </c>
      <c r="E1468" s="6" t="s">
        <v>13</v>
      </c>
      <c r="F1468" s="6">
        <v>28</v>
      </c>
      <c r="G1468" s="6" t="s">
        <v>700</v>
      </c>
      <c r="H1468" s="6" t="s">
        <v>701</v>
      </c>
      <c r="I1468" s="6" t="s">
        <v>124</v>
      </c>
      <c r="J1468" s="6" t="s">
        <v>20</v>
      </c>
      <c r="K1468" s="7">
        <v>51.34</v>
      </c>
    </row>
    <row r="1469" spans="1:11" s="4" customFormat="1" ht="10.199999999999999" x14ac:dyDescent="0.2">
      <c r="A1469" s="6" t="str">
        <f>"0005700030"</f>
        <v>0005700030</v>
      </c>
      <c r="B1469" s="6" t="str">
        <f>"579777"</f>
        <v>579777</v>
      </c>
      <c r="C1469" s="6" t="s">
        <v>705</v>
      </c>
      <c r="D1469" s="6" t="s">
        <v>39</v>
      </c>
      <c r="E1469" s="6" t="s">
        <v>13</v>
      </c>
      <c r="F1469" s="6">
        <v>28</v>
      </c>
      <c r="G1469" s="6" t="s">
        <v>700</v>
      </c>
      <c r="H1469" s="6" t="s">
        <v>701</v>
      </c>
      <c r="I1469" s="6" t="s">
        <v>90</v>
      </c>
      <c r="J1469" s="6" t="s">
        <v>20</v>
      </c>
      <c r="K1469" s="7">
        <v>51.34</v>
      </c>
    </row>
    <row r="1470" spans="1:11" s="4" customFormat="1" ht="10.199999999999999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7"/>
    </row>
    <row r="1471" spans="1:11" s="4" customFormat="1" ht="10.199999999999999" x14ac:dyDescent="0.2">
      <c r="A1471" s="6" t="str">
        <f t="shared" ref="A1471:A1479" si="47">"0005700100"</f>
        <v>0005700100</v>
      </c>
      <c r="B1471" s="6" t="str">
        <f>"454686"</f>
        <v>454686</v>
      </c>
      <c r="C1471" s="6" t="s">
        <v>699</v>
      </c>
      <c r="D1471" s="6" t="s">
        <v>39</v>
      </c>
      <c r="E1471" s="6" t="s">
        <v>13</v>
      </c>
      <c r="F1471" s="6">
        <v>98</v>
      </c>
      <c r="G1471" s="6" t="s">
        <v>700</v>
      </c>
      <c r="H1471" s="6" t="s">
        <v>701</v>
      </c>
      <c r="I1471" s="6" t="s">
        <v>375</v>
      </c>
      <c r="J1471" s="6" t="s">
        <v>17</v>
      </c>
      <c r="K1471" s="7">
        <v>285.95999999999998</v>
      </c>
    </row>
    <row r="1472" spans="1:11" s="4" customFormat="1" ht="10.199999999999999" x14ac:dyDescent="0.2">
      <c r="A1472" s="6" t="str">
        <f t="shared" si="47"/>
        <v>0005700100</v>
      </c>
      <c r="B1472" s="6" t="str">
        <f>"490169"</f>
        <v>490169</v>
      </c>
      <c r="C1472" s="6" t="s">
        <v>699</v>
      </c>
      <c r="D1472" s="6" t="s">
        <v>39</v>
      </c>
      <c r="E1472" s="6" t="s">
        <v>13</v>
      </c>
      <c r="F1472" s="6">
        <v>100</v>
      </c>
      <c r="G1472" s="6" t="s">
        <v>700</v>
      </c>
      <c r="H1472" s="6" t="s">
        <v>701</v>
      </c>
      <c r="I1472" s="6" t="s">
        <v>375</v>
      </c>
      <c r="J1472" s="6" t="s">
        <v>17</v>
      </c>
      <c r="K1472" s="7">
        <v>291.8</v>
      </c>
    </row>
    <row r="1473" spans="1:11" s="4" customFormat="1" ht="10.199999999999999" x14ac:dyDescent="0.2">
      <c r="A1473" s="6" t="str">
        <f t="shared" si="47"/>
        <v>0005700100</v>
      </c>
      <c r="B1473" s="6" t="str">
        <f>"027305"</f>
        <v>027305</v>
      </c>
      <c r="C1473" s="6" t="s">
        <v>702</v>
      </c>
      <c r="D1473" s="6" t="s">
        <v>39</v>
      </c>
      <c r="E1473" s="6" t="s">
        <v>13</v>
      </c>
      <c r="F1473" s="6">
        <v>100</v>
      </c>
      <c r="G1473" s="6" t="s">
        <v>700</v>
      </c>
      <c r="H1473" s="6" t="s">
        <v>701</v>
      </c>
      <c r="I1473" s="6" t="s">
        <v>35</v>
      </c>
      <c r="J1473" s="6" t="s">
        <v>20</v>
      </c>
      <c r="K1473" s="7">
        <v>183.37</v>
      </c>
    </row>
    <row r="1474" spans="1:11" s="4" customFormat="1" ht="10.199999999999999" x14ac:dyDescent="0.2">
      <c r="A1474" s="6" t="str">
        <f t="shared" si="47"/>
        <v>0005700100</v>
      </c>
      <c r="B1474" s="6" t="str">
        <f>"032637"</f>
        <v>032637</v>
      </c>
      <c r="C1474" s="6" t="s">
        <v>702</v>
      </c>
      <c r="D1474" s="6" t="s">
        <v>39</v>
      </c>
      <c r="E1474" s="6" t="s">
        <v>13</v>
      </c>
      <c r="F1474" s="6">
        <v>100</v>
      </c>
      <c r="G1474" s="6" t="s">
        <v>700</v>
      </c>
      <c r="H1474" s="6" t="s">
        <v>701</v>
      </c>
      <c r="I1474" s="6" t="s">
        <v>35</v>
      </c>
      <c r="J1474" s="6" t="s">
        <v>20</v>
      </c>
      <c r="K1474" s="7">
        <v>183.37</v>
      </c>
    </row>
    <row r="1475" spans="1:11" s="4" customFormat="1" ht="10.199999999999999" x14ac:dyDescent="0.2">
      <c r="A1475" s="6" t="str">
        <f t="shared" si="47"/>
        <v>0005700100</v>
      </c>
      <c r="B1475" s="6" t="str">
        <f>"135130"</f>
        <v>135130</v>
      </c>
      <c r="C1475" s="6" t="s">
        <v>703</v>
      </c>
      <c r="D1475" s="6" t="s">
        <v>39</v>
      </c>
      <c r="E1475" s="6" t="s">
        <v>13</v>
      </c>
      <c r="F1475" s="6">
        <v>100</v>
      </c>
      <c r="G1475" s="6" t="s">
        <v>700</v>
      </c>
      <c r="H1475" s="6" t="s">
        <v>701</v>
      </c>
      <c r="I1475" s="6" t="s">
        <v>28</v>
      </c>
      <c r="J1475" s="6" t="s">
        <v>20</v>
      </c>
      <c r="K1475" s="7">
        <v>183.37</v>
      </c>
    </row>
    <row r="1476" spans="1:11" s="4" customFormat="1" ht="10.199999999999999" x14ac:dyDescent="0.2">
      <c r="A1476" s="6" t="str">
        <f t="shared" si="47"/>
        <v>0005700100</v>
      </c>
      <c r="B1476" s="6" t="str">
        <f>"069398"</f>
        <v>069398</v>
      </c>
      <c r="C1476" s="6" t="s">
        <v>704</v>
      </c>
      <c r="D1476" s="6" t="s">
        <v>39</v>
      </c>
      <c r="E1476" s="6" t="s">
        <v>13</v>
      </c>
      <c r="F1476" s="6">
        <v>98</v>
      </c>
      <c r="G1476" s="6" t="s">
        <v>700</v>
      </c>
      <c r="H1476" s="6" t="s">
        <v>701</v>
      </c>
      <c r="I1476" s="6" t="s">
        <v>114</v>
      </c>
      <c r="J1476" s="6" t="s">
        <v>20</v>
      </c>
      <c r="K1476" s="7">
        <v>179.7</v>
      </c>
    </row>
    <row r="1477" spans="1:11" s="4" customFormat="1" ht="10.199999999999999" x14ac:dyDescent="0.2">
      <c r="A1477" s="6" t="str">
        <f t="shared" si="47"/>
        <v>0005700100</v>
      </c>
      <c r="B1477" s="6" t="str">
        <f>"150624"</f>
        <v>150624</v>
      </c>
      <c r="C1477" s="6" t="s">
        <v>707</v>
      </c>
      <c r="D1477" s="6" t="s">
        <v>39</v>
      </c>
      <c r="E1477" s="6" t="s">
        <v>13</v>
      </c>
      <c r="F1477" s="6">
        <v>98</v>
      </c>
      <c r="G1477" s="6" t="s">
        <v>700</v>
      </c>
      <c r="H1477" s="6" t="s">
        <v>701</v>
      </c>
      <c r="I1477" s="6" t="s">
        <v>648</v>
      </c>
      <c r="J1477" s="6" t="s">
        <v>20</v>
      </c>
      <c r="K1477" s="7">
        <v>179.7</v>
      </c>
    </row>
    <row r="1478" spans="1:11" s="4" customFormat="1" ht="20.399999999999999" x14ac:dyDescent="0.2">
      <c r="A1478" s="6" t="str">
        <f t="shared" si="47"/>
        <v>0005700100</v>
      </c>
      <c r="B1478" s="6" t="str">
        <f>"518715"</f>
        <v>518715</v>
      </c>
      <c r="C1478" s="6" t="s">
        <v>706</v>
      </c>
      <c r="D1478" s="6" t="s">
        <v>39</v>
      </c>
      <c r="E1478" s="6" t="s">
        <v>13</v>
      </c>
      <c r="F1478" s="6">
        <v>98</v>
      </c>
      <c r="G1478" s="6" t="s">
        <v>700</v>
      </c>
      <c r="H1478" s="6" t="s">
        <v>701</v>
      </c>
      <c r="I1478" s="6" t="s">
        <v>124</v>
      </c>
      <c r="J1478" s="6" t="s">
        <v>20</v>
      </c>
      <c r="K1478" s="7">
        <v>179.7</v>
      </c>
    </row>
    <row r="1479" spans="1:11" s="4" customFormat="1" ht="10.199999999999999" x14ac:dyDescent="0.2">
      <c r="A1479" s="6" t="str">
        <f t="shared" si="47"/>
        <v>0005700100</v>
      </c>
      <c r="B1479" s="6" t="str">
        <f>"590881"</f>
        <v>590881</v>
      </c>
      <c r="C1479" s="6" t="s">
        <v>705</v>
      </c>
      <c r="D1479" s="6" t="s">
        <v>39</v>
      </c>
      <c r="E1479" s="6" t="s">
        <v>13</v>
      </c>
      <c r="F1479" s="6">
        <v>98</v>
      </c>
      <c r="G1479" s="6" t="s">
        <v>700</v>
      </c>
      <c r="H1479" s="6" t="s">
        <v>701</v>
      </c>
      <c r="I1479" s="6" t="s">
        <v>90</v>
      </c>
      <c r="J1479" s="6" t="s">
        <v>20</v>
      </c>
      <c r="K1479" s="7">
        <v>179.7</v>
      </c>
    </row>
    <row r="1480" spans="1:11" s="4" customFormat="1" ht="10.199999999999999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7"/>
    </row>
    <row r="1481" spans="1:11" s="4" customFormat="1" ht="10.199999999999999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7"/>
    </row>
    <row r="1482" spans="1:11" s="4" customFormat="1" ht="10.199999999999999" x14ac:dyDescent="0.2">
      <c r="A1482" s="6" t="str">
        <f t="shared" ref="A1482:A1487" si="48">"0004000030"</f>
        <v>0004000030</v>
      </c>
      <c r="B1482" s="6" t="str">
        <f>"082776"</f>
        <v>082776</v>
      </c>
      <c r="C1482" s="6" t="s">
        <v>708</v>
      </c>
      <c r="D1482" s="6" t="s">
        <v>134</v>
      </c>
      <c r="E1482" s="6" t="s">
        <v>314</v>
      </c>
      <c r="F1482" s="6">
        <v>28</v>
      </c>
      <c r="G1482" s="6" t="s">
        <v>709</v>
      </c>
      <c r="H1482" s="6" t="s">
        <v>710</v>
      </c>
      <c r="I1482" s="6" t="s">
        <v>711</v>
      </c>
      <c r="J1482" s="6" t="s">
        <v>17</v>
      </c>
      <c r="K1482" s="7">
        <v>36.630000000000003</v>
      </c>
    </row>
    <row r="1483" spans="1:11" s="4" customFormat="1" ht="10.199999999999999" x14ac:dyDescent="0.2">
      <c r="A1483" s="6" t="str">
        <f t="shared" si="48"/>
        <v>0004000030</v>
      </c>
      <c r="B1483" s="6" t="str">
        <f>"586366"</f>
        <v>586366</v>
      </c>
      <c r="C1483" s="6" t="s">
        <v>712</v>
      </c>
      <c r="D1483" s="6" t="s">
        <v>134</v>
      </c>
      <c r="E1483" s="6" t="s">
        <v>314</v>
      </c>
      <c r="F1483" s="6">
        <v>30</v>
      </c>
      <c r="G1483" s="6" t="s">
        <v>709</v>
      </c>
      <c r="H1483" s="6" t="s">
        <v>710</v>
      </c>
      <c r="I1483" s="6" t="s">
        <v>65</v>
      </c>
      <c r="J1483" s="6" t="s">
        <v>20</v>
      </c>
      <c r="K1483" s="7">
        <v>23.55</v>
      </c>
    </row>
    <row r="1484" spans="1:11" s="4" customFormat="1" ht="20.399999999999999" x14ac:dyDescent="0.2">
      <c r="A1484" s="6" t="str">
        <f t="shared" si="48"/>
        <v>0004000030</v>
      </c>
      <c r="B1484" s="6" t="str">
        <f>"047590"</f>
        <v>047590</v>
      </c>
      <c r="C1484" s="6" t="s">
        <v>713</v>
      </c>
      <c r="D1484" s="6" t="s">
        <v>134</v>
      </c>
      <c r="E1484" s="6" t="s">
        <v>314</v>
      </c>
      <c r="F1484" s="6">
        <v>28</v>
      </c>
      <c r="G1484" s="6" t="s">
        <v>709</v>
      </c>
      <c r="H1484" s="6" t="s">
        <v>710</v>
      </c>
      <c r="I1484" s="6" t="s">
        <v>124</v>
      </c>
      <c r="J1484" s="6" t="s">
        <v>20</v>
      </c>
      <c r="K1484" s="7">
        <v>21.98</v>
      </c>
    </row>
    <row r="1485" spans="1:11" s="4" customFormat="1" ht="10.199999999999999" x14ac:dyDescent="0.2">
      <c r="A1485" s="6" t="str">
        <f t="shared" si="48"/>
        <v>0004000030</v>
      </c>
      <c r="B1485" s="6" t="str">
        <f>"081681"</f>
        <v>081681</v>
      </c>
      <c r="C1485" s="6" t="s">
        <v>714</v>
      </c>
      <c r="D1485" s="6" t="s">
        <v>134</v>
      </c>
      <c r="E1485" s="6" t="s">
        <v>314</v>
      </c>
      <c r="F1485" s="6">
        <v>28</v>
      </c>
      <c r="G1485" s="6" t="s">
        <v>709</v>
      </c>
      <c r="H1485" s="6" t="s">
        <v>710</v>
      </c>
      <c r="I1485" s="6" t="s">
        <v>103</v>
      </c>
      <c r="J1485" s="6" t="s">
        <v>20</v>
      </c>
      <c r="K1485" s="7">
        <v>21.98</v>
      </c>
    </row>
    <row r="1486" spans="1:11" s="4" customFormat="1" ht="10.199999999999999" x14ac:dyDescent="0.2">
      <c r="A1486" s="6" t="str">
        <f t="shared" si="48"/>
        <v>0004000030</v>
      </c>
      <c r="B1486" s="6" t="str">
        <f>"398807"</f>
        <v>398807</v>
      </c>
      <c r="C1486" s="6" t="s">
        <v>715</v>
      </c>
      <c r="D1486" s="6" t="s">
        <v>134</v>
      </c>
      <c r="E1486" s="6" t="s">
        <v>314</v>
      </c>
      <c r="F1486" s="6">
        <v>28</v>
      </c>
      <c r="G1486" s="6" t="s">
        <v>709</v>
      </c>
      <c r="H1486" s="6" t="s">
        <v>710</v>
      </c>
      <c r="I1486" s="6" t="s">
        <v>623</v>
      </c>
      <c r="J1486" s="6" t="s">
        <v>20</v>
      </c>
      <c r="K1486" s="7">
        <v>21.98</v>
      </c>
    </row>
    <row r="1487" spans="1:11" s="4" customFormat="1" ht="10.199999999999999" x14ac:dyDescent="0.2">
      <c r="A1487" s="6" t="str">
        <f t="shared" si="48"/>
        <v>0004000030</v>
      </c>
      <c r="B1487" s="6" t="str">
        <f>"528701"</f>
        <v>528701</v>
      </c>
      <c r="C1487" s="6" t="s">
        <v>716</v>
      </c>
      <c r="D1487" s="6" t="s">
        <v>134</v>
      </c>
      <c r="E1487" s="6" t="s">
        <v>314</v>
      </c>
      <c r="F1487" s="6">
        <v>28</v>
      </c>
      <c r="G1487" s="6" t="s">
        <v>709</v>
      </c>
      <c r="H1487" s="6" t="s">
        <v>710</v>
      </c>
      <c r="I1487" s="6" t="s">
        <v>443</v>
      </c>
      <c r="J1487" s="6" t="s">
        <v>20</v>
      </c>
      <c r="K1487" s="7">
        <v>21.98</v>
      </c>
    </row>
    <row r="1488" spans="1:11" s="4" customFormat="1" ht="10.199999999999999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7"/>
    </row>
    <row r="1489" spans="1:11" s="4" customFormat="1" ht="10.199999999999999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7"/>
    </row>
    <row r="1490" spans="1:11" s="4" customFormat="1" ht="10.199999999999999" x14ac:dyDescent="0.2">
      <c r="A1490" s="6" t="str">
        <f>"0004020030"</f>
        <v>0004020030</v>
      </c>
      <c r="B1490" s="6" t="str">
        <f>"083097"</f>
        <v>083097</v>
      </c>
      <c r="C1490" s="6" t="s">
        <v>708</v>
      </c>
      <c r="D1490" s="6" t="s">
        <v>717</v>
      </c>
      <c r="E1490" s="6" t="s">
        <v>314</v>
      </c>
      <c r="F1490" s="6">
        <v>28</v>
      </c>
      <c r="G1490" s="6" t="s">
        <v>709</v>
      </c>
      <c r="H1490" s="6" t="s">
        <v>710</v>
      </c>
      <c r="I1490" s="6" t="s">
        <v>711</v>
      </c>
      <c r="J1490" s="6" t="s">
        <v>17</v>
      </c>
      <c r="K1490" s="7">
        <v>36.630000000000003</v>
      </c>
    </row>
    <row r="1491" spans="1:11" s="4" customFormat="1" ht="20.399999999999999" x14ac:dyDescent="0.2">
      <c r="A1491" s="6" t="str">
        <f>"0004020030"</f>
        <v>0004020030</v>
      </c>
      <c r="B1491" s="6" t="str">
        <f>"047612"</f>
        <v>047612</v>
      </c>
      <c r="C1491" s="6" t="s">
        <v>713</v>
      </c>
      <c r="D1491" s="6" t="s">
        <v>717</v>
      </c>
      <c r="E1491" s="6" t="s">
        <v>314</v>
      </c>
      <c r="F1491" s="6">
        <v>28</v>
      </c>
      <c r="G1491" s="6" t="s">
        <v>709</v>
      </c>
      <c r="H1491" s="6" t="s">
        <v>710</v>
      </c>
      <c r="I1491" s="6" t="s">
        <v>124</v>
      </c>
      <c r="J1491" s="6" t="s">
        <v>20</v>
      </c>
      <c r="K1491" s="7">
        <v>21.98</v>
      </c>
    </row>
    <row r="1492" spans="1:11" s="4" customFormat="1" ht="10.199999999999999" x14ac:dyDescent="0.2">
      <c r="A1492" s="6" t="str">
        <f>"0004020030"</f>
        <v>0004020030</v>
      </c>
      <c r="B1492" s="6" t="str">
        <f>"081704"</f>
        <v>081704</v>
      </c>
      <c r="C1492" s="6" t="s">
        <v>714</v>
      </c>
      <c r="D1492" s="6" t="s">
        <v>717</v>
      </c>
      <c r="E1492" s="6" t="s">
        <v>314</v>
      </c>
      <c r="F1492" s="6">
        <v>28</v>
      </c>
      <c r="G1492" s="6" t="s">
        <v>709</v>
      </c>
      <c r="H1492" s="6" t="s">
        <v>710</v>
      </c>
      <c r="I1492" s="6" t="s">
        <v>103</v>
      </c>
      <c r="J1492" s="6" t="s">
        <v>20</v>
      </c>
      <c r="K1492" s="7">
        <v>21.98</v>
      </c>
    </row>
    <row r="1493" spans="1:11" s="4" customFormat="1" ht="10.199999999999999" x14ac:dyDescent="0.2">
      <c r="A1493" s="6" t="str">
        <f>"0004020030"</f>
        <v>0004020030</v>
      </c>
      <c r="B1493" s="6" t="str">
        <f>"419681"</f>
        <v>419681</v>
      </c>
      <c r="C1493" s="6" t="s">
        <v>716</v>
      </c>
      <c r="D1493" s="6" t="s">
        <v>717</v>
      </c>
      <c r="E1493" s="6" t="s">
        <v>314</v>
      </c>
      <c r="F1493" s="6">
        <v>28</v>
      </c>
      <c r="G1493" s="6" t="s">
        <v>709</v>
      </c>
      <c r="H1493" s="6" t="s">
        <v>710</v>
      </c>
      <c r="I1493" s="6" t="s">
        <v>443</v>
      </c>
      <c r="J1493" s="6" t="s">
        <v>20</v>
      </c>
      <c r="K1493" s="7">
        <v>21.98</v>
      </c>
    </row>
    <row r="1494" spans="1:11" s="4" customFormat="1" ht="10.199999999999999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7"/>
    </row>
    <row r="1495" spans="1:11" s="4" customFormat="1" ht="10.199999999999999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7"/>
    </row>
    <row r="1496" spans="1:11" s="4" customFormat="1" ht="10.199999999999999" x14ac:dyDescent="0.2">
      <c r="A1496" s="6" t="str">
        <f t="shared" ref="A1496:A1502" si="49">"0004020112"</f>
        <v>0004020112</v>
      </c>
      <c r="B1496" s="6" t="str">
        <f>"083204"</f>
        <v>083204</v>
      </c>
      <c r="C1496" s="6" t="s">
        <v>708</v>
      </c>
      <c r="D1496" s="6" t="s">
        <v>717</v>
      </c>
      <c r="E1496" s="6" t="s">
        <v>314</v>
      </c>
      <c r="F1496" s="6">
        <v>112</v>
      </c>
      <c r="G1496" s="6" t="s">
        <v>709</v>
      </c>
      <c r="H1496" s="6" t="s">
        <v>710</v>
      </c>
      <c r="I1496" s="6" t="s">
        <v>711</v>
      </c>
      <c r="J1496" s="6" t="s">
        <v>17</v>
      </c>
      <c r="K1496" s="7">
        <v>137.97</v>
      </c>
    </row>
    <row r="1497" spans="1:11" s="4" customFormat="1" ht="20.399999999999999" x14ac:dyDescent="0.2">
      <c r="A1497" s="6" t="str">
        <f t="shared" si="49"/>
        <v>0004020112</v>
      </c>
      <c r="B1497" s="6" t="str">
        <f>"047634"</f>
        <v>047634</v>
      </c>
      <c r="C1497" s="6" t="s">
        <v>713</v>
      </c>
      <c r="D1497" s="6" t="s">
        <v>717</v>
      </c>
      <c r="E1497" s="6" t="s">
        <v>314</v>
      </c>
      <c r="F1497" s="6">
        <v>112</v>
      </c>
      <c r="G1497" s="6" t="s">
        <v>709</v>
      </c>
      <c r="H1497" s="6" t="s">
        <v>710</v>
      </c>
      <c r="I1497" s="6" t="s">
        <v>124</v>
      </c>
      <c r="J1497" s="6" t="s">
        <v>20</v>
      </c>
      <c r="K1497" s="7">
        <v>82.78</v>
      </c>
    </row>
    <row r="1498" spans="1:11" s="4" customFormat="1" ht="10.199999999999999" x14ac:dyDescent="0.2">
      <c r="A1498" s="6" t="str">
        <f t="shared" si="49"/>
        <v>0004020112</v>
      </c>
      <c r="B1498" s="6" t="str">
        <f>"093901"</f>
        <v>093901</v>
      </c>
      <c r="C1498" s="6" t="s">
        <v>715</v>
      </c>
      <c r="D1498" s="6" t="s">
        <v>717</v>
      </c>
      <c r="E1498" s="6" t="s">
        <v>314</v>
      </c>
      <c r="F1498" s="6">
        <v>112</v>
      </c>
      <c r="G1498" s="6" t="s">
        <v>709</v>
      </c>
      <c r="H1498" s="6" t="s">
        <v>710</v>
      </c>
      <c r="I1498" s="6" t="s">
        <v>35</v>
      </c>
      <c r="J1498" s="6" t="s">
        <v>20</v>
      </c>
      <c r="K1498" s="7">
        <v>82.78</v>
      </c>
    </row>
    <row r="1499" spans="1:11" s="4" customFormat="1" ht="10.199999999999999" x14ac:dyDescent="0.2">
      <c r="A1499" s="6" t="str">
        <f t="shared" si="49"/>
        <v>0004020112</v>
      </c>
      <c r="B1499" s="6" t="str">
        <f>"444013"</f>
        <v>444013</v>
      </c>
      <c r="C1499" s="6" t="s">
        <v>718</v>
      </c>
      <c r="D1499" s="6" t="s">
        <v>717</v>
      </c>
      <c r="E1499" s="6" t="s">
        <v>314</v>
      </c>
      <c r="F1499" s="6">
        <v>112</v>
      </c>
      <c r="G1499" s="6" t="s">
        <v>709</v>
      </c>
      <c r="H1499" s="6" t="s">
        <v>710</v>
      </c>
      <c r="I1499" s="6" t="s">
        <v>114</v>
      </c>
      <c r="J1499" s="6" t="s">
        <v>20</v>
      </c>
      <c r="K1499" s="7">
        <v>82.78</v>
      </c>
    </row>
    <row r="1500" spans="1:11" s="4" customFormat="1" ht="10.199999999999999" x14ac:dyDescent="0.2">
      <c r="A1500" s="6" t="str">
        <f t="shared" si="49"/>
        <v>0004020112</v>
      </c>
      <c r="B1500" s="6" t="str">
        <f>"481345"</f>
        <v>481345</v>
      </c>
      <c r="C1500" s="6" t="s">
        <v>714</v>
      </c>
      <c r="D1500" s="6" t="s">
        <v>717</v>
      </c>
      <c r="E1500" s="6" t="s">
        <v>314</v>
      </c>
      <c r="F1500" s="6">
        <v>112</v>
      </c>
      <c r="G1500" s="6" t="s">
        <v>709</v>
      </c>
      <c r="H1500" s="6" t="s">
        <v>710</v>
      </c>
      <c r="I1500" s="6" t="s">
        <v>103</v>
      </c>
      <c r="J1500" s="6" t="s">
        <v>20</v>
      </c>
      <c r="K1500" s="7">
        <v>82.78</v>
      </c>
    </row>
    <row r="1501" spans="1:11" s="4" customFormat="1" ht="10.199999999999999" x14ac:dyDescent="0.2">
      <c r="A1501" s="6" t="str">
        <f t="shared" si="49"/>
        <v>0004020112</v>
      </c>
      <c r="B1501" s="6" t="str">
        <f>"504371"</f>
        <v>504371</v>
      </c>
      <c r="C1501" s="6" t="s">
        <v>716</v>
      </c>
      <c r="D1501" s="6" t="s">
        <v>717</v>
      </c>
      <c r="E1501" s="6" t="s">
        <v>314</v>
      </c>
      <c r="F1501" s="6">
        <v>112</v>
      </c>
      <c r="G1501" s="6" t="s">
        <v>709</v>
      </c>
      <c r="H1501" s="6" t="s">
        <v>710</v>
      </c>
      <c r="I1501" s="6" t="s">
        <v>443</v>
      </c>
      <c r="J1501" s="6" t="s">
        <v>20</v>
      </c>
      <c r="K1501" s="7">
        <v>82.78</v>
      </c>
    </row>
    <row r="1502" spans="1:11" s="4" customFormat="1" ht="10.199999999999999" x14ac:dyDescent="0.2">
      <c r="A1502" s="6" t="str">
        <f t="shared" si="49"/>
        <v>0004020112</v>
      </c>
      <c r="B1502" s="6" t="str">
        <f>"559512"</f>
        <v>559512</v>
      </c>
      <c r="C1502" s="6" t="s">
        <v>712</v>
      </c>
      <c r="D1502" s="6" t="s">
        <v>717</v>
      </c>
      <c r="E1502" s="6" t="s">
        <v>314</v>
      </c>
      <c r="F1502" s="6">
        <v>112</v>
      </c>
      <c r="G1502" s="6" t="s">
        <v>709</v>
      </c>
      <c r="H1502" s="6" t="s">
        <v>710</v>
      </c>
      <c r="I1502" s="6" t="s">
        <v>65</v>
      </c>
      <c r="J1502" s="6" t="s">
        <v>20</v>
      </c>
      <c r="K1502" s="7">
        <v>82.78</v>
      </c>
    </row>
    <row r="1503" spans="1:11" s="4" customFormat="1" ht="10.199999999999999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7"/>
    </row>
    <row r="1504" spans="1:11" s="4" customFormat="1" ht="10.199999999999999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7"/>
    </row>
    <row r="1505" spans="1:11" s="4" customFormat="1" ht="10.199999999999999" x14ac:dyDescent="0.2">
      <c r="A1505" s="6" t="str">
        <f>"0004030030"</f>
        <v>0004030030</v>
      </c>
      <c r="B1505" s="6" t="str">
        <f>"083345"</f>
        <v>083345</v>
      </c>
      <c r="C1505" s="6" t="s">
        <v>708</v>
      </c>
      <c r="D1505" s="6" t="s">
        <v>719</v>
      </c>
      <c r="E1505" s="6" t="s">
        <v>314</v>
      </c>
      <c r="F1505" s="6">
        <v>28</v>
      </c>
      <c r="G1505" s="6" t="s">
        <v>709</v>
      </c>
      <c r="H1505" s="6" t="s">
        <v>710</v>
      </c>
      <c r="I1505" s="6" t="s">
        <v>711</v>
      </c>
      <c r="J1505" s="6" t="s">
        <v>17</v>
      </c>
      <c r="K1505" s="7">
        <v>36.630000000000003</v>
      </c>
    </row>
    <row r="1506" spans="1:11" s="4" customFormat="1" ht="20.399999999999999" x14ac:dyDescent="0.2">
      <c r="A1506" s="6" t="str">
        <f>"0004030030"</f>
        <v>0004030030</v>
      </c>
      <c r="B1506" s="6" t="str">
        <f>"047645"</f>
        <v>047645</v>
      </c>
      <c r="C1506" s="6" t="s">
        <v>713</v>
      </c>
      <c r="D1506" s="6" t="s">
        <v>719</v>
      </c>
      <c r="E1506" s="6" t="s">
        <v>314</v>
      </c>
      <c r="F1506" s="6">
        <v>28</v>
      </c>
      <c r="G1506" s="6" t="s">
        <v>709</v>
      </c>
      <c r="H1506" s="6" t="s">
        <v>710</v>
      </c>
      <c r="I1506" s="6" t="s">
        <v>124</v>
      </c>
      <c r="J1506" s="6" t="s">
        <v>20</v>
      </c>
      <c r="K1506" s="7">
        <v>21.98</v>
      </c>
    </row>
    <row r="1507" spans="1:11" s="4" customFormat="1" ht="10.199999999999999" x14ac:dyDescent="0.2">
      <c r="A1507" s="6" t="str">
        <f>"0004030030"</f>
        <v>0004030030</v>
      </c>
      <c r="B1507" s="6" t="str">
        <f>"427785"</f>
        <v>427785</v>
      </c>
      <c r="C1507" s="6" t="s">
        <v>714</v>
      </c>
      <c r="D1507" s="6" t="s">
        <v>719</v>
      </c>
      <c r="E1507" s="6" t="s">
        <v>314</v>
      </c>
      <c r="F1507" s="6">
        <v>28</v>
      </c>
      <c r="G1507" s="6" t="s">
        <v>709</v>
      </c>
      <c r="H1507" s="6" t="s">
        <v>710</v>
      </c>
      <c r="I1507" s="6" t="s">
        <v>103</v>
      </c>
      <c r="J1507" s="6" t="s">
        <v>20</v>
      </c>
      <c r="K1507" s="7">
        <v>21.98</v>
      </c>
    </row>
    <row r="1508" spans="1:11" s="4" customFormat="1" ht="10.199999999999999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7"/>
    </row>
    <row r="1509" spans="1:11" s="4" customFormat="1" ht="10.199999999999999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7"/>
    </row>
    <row r="1510" spans="1:11" s="4" customFormat="1" ht="10.199999999999999" x14ac:dyDescent="0.2">
      <c r="A1510" s="6" t="str">
        <f t="shared" ref="A1510:A1516" si="50">"0004030112"</f>
        <v>0004030112</v>
      </c>
      <c r="B1510" s="6" t="str">
        <f>"085316"</f>
        <v>085316</v>
      </c>
      <c r="C1510" s="6" t="s">
        <v>708</v>
      </c>
      <c r="D1510" s="6" t="s">
        <v>719</v>
      </c>
      <c r="E1510" s="6" t="s">
        <v>314</v>
      </c>
      <c r="F1510" s="6">
        <v>112</v>
      </c>
      <c r="G1510" s="6" t="s">
        <v>709</v>
      </c>
      <c r="H1510" s="6" t="s">
        <v>710</v>
      </c>
      <c r="I1510" s="6" t="s">
        <v>711</v>
      </c>
      <c r="J1510" s="6" t="s">
        <v>17</v>
      </c>
      <c r="K1510" s="7">
        <v>137.97</v>
      </c>
    </row>
    <row r="1511" spans="1:11" s="4" customFormat="1" ht="10.199999999999999" x14ac:dyDescent="0.2">
      <c r="A1511" s="6" t="str">
        <f t="shared" si="50"/>
        <v>0004030112</v>
      </c>
      <c r="B1511" s="6" t="str">
        <f>"044704"</f>
        <v>044704</v>
      </c>
      <c r="C1511" s="6" t="s">
        <v>716</v>
      </c>
      <c r="D1511" s="6" t="s">
        <v>719</v>
      </c>
      <c r="E1511" s="6" t="s">
        <v>314</v>
      </c>
      <c r="F1511" s="6">
        <v>112</v>
      </c>
      <c r="G1511" s="6" t="s">
        <v>709</v>
      </c>
      <c r="H1511" s="6" t="s">
        <v>710</v>
      </c>
      <c r="I1511" s="6" t="s">
        <v>443</v>
      </c>
      <c r="J1511" s="6" t="s">
        <v>20</v>
      </c>
      <c r="K1511" s="7">
        <v>82.78</v>
      </c>
    </row>
    <row r="1512" spans="1:11" s="4" customFormat="1" ht="20.399999999999999" x14ac:dyDescent="0.2">
      <c r="A1512" s="6" t="str">
        <f t="shared" si="50"/>
        <v>0004030112</v>
      </c>
      <c r="B1512" s="6" t="str">
        <f>"047667"</f>
        <v>047667</v>
      </c>
      <c r="C1512" s="6" t="s">
        <v>713</v>
      </c>
      <c r="D1512" s="6" t="s">
        <v>719</v>
      </c>
      <c r="E1512" s="6" t="s">
        <v>314</v>
      </c>
      <c r="F1512" s="6">
        <v>112</v>
      </c>
      <c r="G1512" s="6" t="s">
        <v>709</v>
      </c>
      <c r="H1512" s="6" t="s">
        <v>710</v>
      </c>
      <c r="I1512" s="6" t="s">
        <v>124</v>
      </c>
      <c r="J1512" s="6" t="s">
        <v>20</v>
      </c>
      <c r="K1512" s="7">
        <v>82.78</v>
      </c>
    </row>
    <row r="1513" spans="1:11" s="4" customFormat="1" ht="10.199999999999999" x14ac:dyDescent="0.2">
      <c r="A1513" s="6" t="str">
        <f t="shared" si="50"/>
        <v>0004030112</v>
      </c>
      <c r="B1513" s="6" t="str">
        <f>"139959"</f>
        <v>139959</v>
      </c>
      <c r="C1513" s="6" t="s">
        <v>714</v>
      </c>
      <c r="D1513" s="6" t="s">
        <v>719</v>
      </c>
      <c r="E1513" s="6" t="s">
        <v>314</v>
      </c>
      <c r="F1513" s="6">
        <v>112</v>
      </c>
      <c r="G1513" s="6" t="s">
        <v>709</v>
      </c>
      <c r="H1513" s="6" t="s">
        <v>710</v>
      </c>
      <c r="I1513" s="6" t="s">
        <v>103</v>
      </c>
      <c r="J1513" s="6" t="s">
        <v>20</v>
      </c>
      <c r="K1513" s="7">
        <v>82.78</v>
      </c>
    </row>
    <row r="1514" spans="1:11" s="4" customFormat="1" ht="10.199999999999999" x14ac:dyDescent="0.2">
      <c r="A1514" s="6" t="str">
        <f t="shared" si="50"/>
        <v>0004030112</v>
      </c>
      <c r="B1514" s="6" t="str">
        <f>"392794"</f>
        <v>392794</v>
      </c>
      <c r="C1514" s="6" t="s">
        <v>718</v>
      </c>
      <c r="D1514" s="6" t="s">
        <v>719</v>
      </c>
      <c r="E1514" s="6" t="s">
        <v>314</v>
      </c>
      <c r="F1514" s="6">
        <v>112</v>
      </c>
      <c r="G1514" s="6" t="s">
        <v>709</v>
      </c>
      <c r="H1514" s="6" t="s">
        <v>710</v>
      </c>
      <c r="I1514" s="6" t="s">
        <v>114</v>
      </c>
      <c r="J1514" s="6" t="s">
        <v>20</v>
      </c>
      <c r="K1514" s="7">
        <v>82.78</v>
      </c>
    </row>
    <row r="1515" spans="1:11" s="4" customFormat="1" ht="10.199999999999999" x14ac:dyDescent="0.2">
      <c r="A1515" s="6" t="str">
        <f t="shared" si="50"/>
        <v>0004030112</v>
      </c>
      <c r="B1515" s="6" t="str">
        <f>"408679"</f>
        <v>408679</v>
      </c>
      <c r="C1515" s="6" t="s">
        <v>715</v>
      </c>
      <c r="D1515" s="6" t="s">
        <v>719</v>
      </c>
      <c r="E1515" s="6" t="s">
        <v>314</v>
      </c>
      <c r="F1515" s="6">
        <v>112</v>
      </c>
      <c r="G1515" s="6" t="s">
        <v>709</v>
      </c>
      <c r="H1515" s="6" t="s">
        <v>710</v>
      </c>
      <c r="I1515" s="6" t="s">
        <v>35</v>
      </c>
      <c r="J1515" s="6" t="s">
        <v>20</v>
      </c>
      <c r="K1515" s="7">
        <v>82.78</v>
      </c>
    </row>
    <row r="1516" spans="1:11" s="4" customFormat="1" ht="10.199999999999999" x14ac:dyDescent="0.2">
      <c r="A1516" s="6" t="str">
        <f t="shared" si="50"/>
        <v>0004030112</v>
      </c>
      <c r="B1516" s="6" t="str">
        <f>"591100"</f>
        <v>591100</v>
      </c>
      <c r="C1516" s="6" t="s">
        <v>712</v>
      </c>
      <c r="D1516" s="6" t="s">
        <v>719</v>
      </c>
      <c r="E1516" s="6" t="s">
        <v>314</v>
      </c>
      <c r="F1516" s="6">
        <v>112</v>
      </c>
      <c r="G1516" s="6" t="s">
        <v>709</v>
      </c>
      <c r="H1516" s="6" t="s">
        <v>710</v>
      </c>
      <c r="I1516" s="6" t="s">
        <v>65</v>
      </c>
      <c r="J1516" s="6" t="s">
        <v>20</v>
      </c>
      <c r="K1516" s="7">
        <v>82.78</v>
      </c>
    </row>
    <row r="1517" spans="1:11" s="4" customFormat="1" ht="10.199999999999999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7"/>
    </row>
    <row r="1518" spans="1:11" s="4" customFormat="1" ht="10.199999999999999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7"/>
    </row>
    <row r="1519" spans="1:11" s="4" customFormat="1" ht="10.199999999999999" x14ac:dyDescent="0.2">
      <c r="A1519" s="6" t="str">
        <f>"0004040030"</f>
        <v>0004040030</v>
      </c>
      <c r="B1519" s="6" t="str">
        <f>"083618"</f>
        <v>083618</v>
      </c>
      <c r="C1519" s="6" t="s">
        <v>708</v>
      </c>
      <c r="D1519" s="6" t="s">
        <v>720</v>
      </c>
      <c r="E1519" s="6" t="s">
        <v>314</v>
      </c>
      <c r="F1519" s="6">
        <v>28</v>
      </c>
      <c r="G1519" s="6" t="s">
        <v>709</v>
      </c>
      <c r="H1519" s="6" t="s">
        <v>710</v>
      </c>
      <c r="I1519" s="6" t="s">
        <v>711</v>
      </c>
      <c r="J1519" s="6" t="s">
        <v>17</v>
      </c>
      <c r="K1519" s="7">
        <v>36.630000000000003</v>
      </c>
    </row>
    <row r="1520" spans="1:11" s="4" customFormat="1" ht="20.399999999999999" x14ac:dyDescent="0.2">
      <c r="A1520" s="6" t="str">
        <f>"0004040030"</f>
        <v>0004040030</v>
      </c>
      <c r="B1520" s="6" t="str">
        <f>"047679"</f>
        <v>047679</v>
      </c>
      <c r="C1520" s="6" t="s">
        <v>713</v>
      </c>
      <c r="D1520" s="6" t="s">
        <v>720</v>
      </c>
      <c r="E1520" s="6" t="s">
        <v>314</v>
      </c>
      <c r="F1520" s="6">
        <v>28</v>
      </c>
      <c r="G1520" s="6" t="s">
        <v>709</v>
      </c>
      <c r="H1520" s="6" t="s">
        <v>710</v>
      </c>
      <c r="I1520" s="6" t="s">
        <v>124</v>
      </c>
      <c r="J1520" s="6" t="s">
        <v>20</v>
      </c>
      <c r="K1520" s="7">
        <v>21.98</v>
      </c>
    </row>
    <row r="1521" spans="1:11" s="4" customFormat="1" ht="10.199999999999999" x14ac:dyDescent="0.2">
      <c r="A1521" s="6" t="str">
        <f>"0004040030"</f>
        <v>0004040030</v>
      </c>
      <c r="B1521" s="6" t="str">
        <f>"427320"</f>
        <v>427320</v>
      </c>
      <c r="C1521" s="6" t="s">
        <v>714</v>
      </c>
      <c r="D1521" s="6" t="s">
        <v>720</v>
      </c>
      <c r="E1521" s="6" t="s">
        <v>314</v>
      </c>
      <c r="F1521" s="6">
        <v>28</v>
      </c>
      <c r="G1521" s="6" t="s">
        <v>709</v>
      </c>
      <c r="H1521" s="6" t="s">
        <v>710</v>
      </c>
      <c r="I1521" s="6" t="s">
        <v>103</v>
      </c>
      <c r="J1521" s="6" t="s">
        <v>20</v>
      </c>
      <c r="K1521" s="7">
        <v>21.98</v>
      </c>
    </row>
    <row r="1522" spans="1:11" s="4" customFormat="1" ht="10.199999999999999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7"/>
    </row>
    <row r="1523" spans="1:11" s="4" customFormat="1" ht="10.199999999999999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7"/>
    </row>
    <row r="1524" spans="1:11" s="4" customFormat="1" ht="10.199999999999999" x14ac:dyDescent="0.2">
      <c r="A1524" s="6" t="str">
        <f t="shared" ref="A1524:A1530" si="51">"0004040112"</f>
        <v>0004040112</v>
      </c>
      <c r="B1524" s="6" t="str">
        <f>"083634"</f>
        <v>083634</v>
      </c>
      <c r="C1524" s="6" t="s">
        <v>708</v>
      </c>
      <c r="D1524" s="6" t="s">
        <v>720</v>
      </c>
      <c r="E1524" s="6" t="s">
        <v>314</v>
      </c>
      <c r="F1524" s="6">
        <v>112</v>
      </c>
      <c r="G1524" s="6" t="s">
        <v>709</v>
      </c>
      <c r="H1524" s="6" t="s">
        <v>710</v>
      </c>
      <c r="I1524" s="6" t="s">
        <v>711</v>
      </c>
      <c r="J1524" s="6" t="s">
        <v>17</v>
      </c>
      <c r="K1524" s="7">
        <v>137.97</v>
      </c>
    </row>
    <row r="1525" spans="1:11" s="4" customFormat="1" ht="10.199999999999999" x14ac:dyDescent="0.2">
      <c r="A1525" s="6" t="str">
        <f t="shared" si="51"/>
        <v>0004040112</v>
      </c>
      <c r="B1525" s="6" t="str">
        <f>"039314"</f>
        <v>039314</v>
      </c>
      <c r="C1525" s="6" t="s">
        <v>718</v>
      </c>
      <c r="D1525" s="6" t="s">
        <v>720</v>
      </c>
      <c r="E1525" s="6" t="s">
        <v>314</v>
      </c>
      <c r="F1525" s="6">
        <v>112</v>
      </c>
      <c r="G1525" s="6" t="s">
        <v>709</v>
      </c>
      <c r="H1525" s="6" t="s">
        <v>710</v>
      </c>
      <c r="I1525" s="6" t="s">
        <v>114</v>
      </c>
      <c r="J1525" s="6" t="s">
        <v>20</v>
      </c>
      <c r="K1525" s="7">
        <v>82.78</v>
      </c>
    </row>
    <row r="1526" spans="1:11" s="4" customFormat="1" ht="20.399999999999999" x14ac:dyDescent="0.2">
      <c r="A1526" s="6" t="str">
        <f t="shared" si="51"/>
        <v>0004040112</v>
      </c>
      <c r="B1526" s="6" t="str">
        <f>"047701"</f>
        <v>047701</v>
      </c>
      <c r="C1526" s="6" t="s">
        <v>713</v>
      </c>
      <c r="D1526" s="6" t="s">
        <v>720</v>
      </c>
      <c r="E1526" s="6" t="s">
        <v>314</v>
      </c>
      <c r="F1526" s="6">
        <v>112</v>
      </c>
      <c r="G1526" s="6" t="s">
        <v>709</v>
      </c>
      <c r="H1526" s="6" t="s">
        <v>710</v>
      </c>
      <c r="I1526" s="6" t="s">
        <v>124</v>
      </c>
      <c r="J1526" s="6" t="s">
        <v>20</v>
      </c>
      <c r="K1526" s="7">
        <v>82.78</v>
      </c>
    </row>
    <row r="1527" spans="1:11" s="4" customFormat="1" ht="10.199999999999999" x14ac:dyDescent="0.2">
      <c r="A1527" s="6" t="str">
        <f t="shared" si="51"/>
        <v>0004040112</v>
      </c>
      <c r="B1527" s="6" t="str">
        <f>"159762"</f>
        <v>159762</v>
      </c>
      <c r="C1527" s="6" t="s">
        <v>714</v>
      </c>
      <c r="D1527" s="6" t="s">
        <v>720</v>
      </c>
      <c r="E1527" s="6" t="s">
        <v>314</v>
      </c>
      <c r="F1527" s="6">
        <v>112</v>
      </c>
      <c r="G1527" s="6" t="s">
        <v>709</v>
      </c>
      <c r="H1527" s="6" t="s">
        <v>710</v>
      </c>
      <c r="I1527" s="6" t="s">
        <v>103</v>
      </c>
      <c r="J1527" s="6" t="s">
        <v>20</v>
      </c>
      <c r="K1527" s="7">
        <v>82.78</v>
      </c>
    </row>
    <row r="1528" spans="1:11" s="4" customFormat="1" ht="10.199999999999999" x14ac:dyDescent="0.2">
      <c r="A1528" s="6" t="str">
        <f t="shared" si="51"/>
        <v>0004040112</v>
      </c>
      <c r="B1528" s="6" t="str">
        <f>"446116"</f>
        <v>446116</v>
      </c>
      <c r="C1528" s="6" t="s">
        <v>715</v>
      </c>
      <c r="D1528" s="6" t="s">
        <v>720</v>
      </c>
      <c r="E1528" s="6" t="s">
        <v>314</v>
      </c>
      <c r="F1528" s="6">
        <v>112</v>
      </c>
      <c r="G1528" s="6" t="s">
        <v>709</v>
      </c>
      <c r="H1528" s="6" t="s">
        <v>710</v>
      </c>
      <c r="I1528" s="6" t="s">
        <v>35</v>
      </c>
      <c r="J1528" s="6" t="s">
        <v>20</v>
      </c>
      <c r="K1528" s="7">
        <v>82.78</v>
      </c>
    </row>
    <row r="1529" spans="1:11" s="4" customFormat="1" ht="10.199999999999999" x14ac:dyDescent="0.2">
      <c r="A1529" s="6" t="str">
        <f t="shared" si="51"/>
        <v>0004040112</v>
      </c>
      <c r="B1529" s="6" t="str">
        <f>"524440"</f>
        <v>524440</v>
      </c>
      <c r="C1529" s="6" t="s">
        <v>716</v>
      </c>
      <c r="D1529" s="6" t="s">
        <v>720</v>
      </c>
      <c r="E1529" s="6" t="s">
        <v>314</v>
      </c>
      <c r="F1529" s="6">
        <v>112</v>
      </c>
      <c r="G1529" s="6" t="s">
        <v>709</v>
      </c>
      <c r="H1529" s="6" t="s">
        <v>710</v>
      </c>
      <c r="I1529" s="6" t="s">
        <v>443</v>
      </c>
      <c r="J1529" s="6" t="s">
        <v>20</v>
      </c>
      <c r="K1529" s="7">
        <v>82.78</v>
      </c>
    </row>
    <row r="1530" spans="1:11" s="4" customFormat="1" ht="10.199999999999999" x14ac:dyDescent="0.2">
      <c r="A1530" s="6" t="str">
        <f t="shared" si="51"/>
        <v>0004040112</v>
      </c>
      <c r="B1530" s="6" t="str">
        <f>"123995"</f>
        <v>123995</v>
      </c>
      <c r="C1530" s="6" t="s">
        <v>712</v>
      </c>
      <c r="D1530" s="6" t="s">
        <v>720</v>
      </c>
      <c r="E1530" s="6" t="s">
        <v>314</v>
      </c>
      <c r="F1530" s="6">
        <v>112</v>
      </c>
      <c r="G1530" s="6" t="s">
        <v>709</v>
      </c>
      <c r="H1530" s="6" t="s">
        <v>710</v>
      </c>
      <c r="I1530" s="6" t="s">
        <v>65</v>
      </c>
      <c r="J1530" s="6" t="s">
        <v>20</v>
      </c>
      <c r="K1530" s="7">
        <v>82.78</v>
      </c>
    </row>
    <row r="1531" spans="1:11" s="4" customFormat="1" ht="10.199999999999999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7"/>
    </row>
    <row r="1532" spans="1:11" s="4" customFormat="1" ht="10.199999999999999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7"/>
    </row>
    <row r="1533" spans="1:11" s="4" customFormat="1" ht="10.199999999999999" x14ac:dyDescent="0.2">
      <c r="A1533" s="6" t="str">
        <f t="shared" ref="A1533:A1538" si="52">"0012320030"</f>
        <v>0012320030</v>
      </c>
      <c r="B1533" s="6" t="str">
        <f>"017773"</f>
        <v>017773</v>
      </c>
      <c r="C1533" s="6" t="s">
        <v>721</v>
      </c>
      <c r="D1533" s="6" t="s">
        <v>71</v>
      </c>
      <c r="E1533" s="6" t="s">
        <v>372</v>
      </c>
      <c r="F1533" s="6">
        <v>28</v>
      </c>
      <c r="G1533" s="6" t="s">
        <v>722</v>
      </c>
      <c r="H1533" s="6" t="s">
        <v>723</v>
      </c>
      <c r="I1533" s="6" t="s">
        <v>693</v>
      </c>
      <c r="J1533" s="6" t="s">
        <v>17</v>
      </c>
      <c r="K1533" s="7">
        <v>43.22</v>
      </c>
    </row>
    <row r="1534" spans="1:11" s="4" customFormat="1" ht="10.199999999999999" x14ac:dyDescent="0.2">
      <c r="A1534" s="6" t="str">
        <f t="shared" si="52"/>
        <v>0012320030</v>
      </c>
      <c r="B1534" s="6" t="str">
        <f>"564124"</f>
        <v>564124</v>
      </c>
      <c r="C1534" s="6" t="s">
        <v>724</v>
      </c>
      <c r="D1534" s="6" t="s">
        <v>71</v>
      </c>
      <c r="E1534" s="6" t="s">
        <v>372</v>
      </c>
      <c r="F1534" s="6">
        <v>30</v>
      </c>
      <c r="G1534" s="6" t="s">
        <v>722</v>
      </c>
      <c r="H1534" s="6" t="s">
        <v>723</v>
      </c>
      <c r="I1534" s="6" t="s">
        <v>65</v>
      </c>
      <c r="J1534" s="6" t="s">
        <v>20</v>
      </c>
      <c r="K1534" s="7">
        <v>27.78</v>
      </c>
    </row>
    <row r="1535" spans="1:11" s="4" customFormat="1" ht="10.199999999999999" x14ac:dyDescent="0.2">
      <c r="A1535" s="6" t="str">
        <f t="shared" si="52"/>
        <v>0012320030</v>
      </c>
      <c r="B1535" s="6" t="str">
        <f>"037254"</f>
        <v>037254</v>
      </c>
      <c r="C1535" s="6" t="s">
        <v>725</v>
      </c>
      <c r="D1535" s="6" t="s">
        <v>71</v>
      </c>
      <c r="E1535" s="6" t="s">
        <v>372</v>
      </c>
      <c r="F1535" s="6">
        <v>28</v>
      </c>
      <c r="G1535" s="6" t="s">
        <v>722</v>
      </c>
      <c r="H1535" s="6" t="s">
        <v>723</v>
      </c>
      <c r="I1535" s="6" t="s">
        <v>30</v>
      </c>
      <c r="J1535" s="6" t="s">
        <v>20</v>
      </c>
      <c r="K1535" s="7">
        <v>25.93</v>
      </c>
    </row>
    <row r="1536" spans="1:11" s="4" customFormat="1" ht="10.199999999999999" x14ac:dyDescent="0.2">
      <c r="A1536" s="6" t="str">
        <f t="shared" si="52"/>
        <v>0012320030</v>
      </c>
      <c r="B1536" s="6" t="str">
        <f>"161754"</f>
        <v>161754</v>
      </c>
      <c r="C1536" s="6" t="s">
        <v>726</v>
      </c>
      <c r="D1536" s="6" t="s">
        <v>71</v>
      </c>
      <c r="E1536" s="6" t="s">
        <v>372</v>
      </c>
      <c r="F1536" s="6">
        <v>28</v>
      </c>
      <c r="G1536" s="6" t="s">
        <v>722</v>
      </c>
      <c r="H1536" s="6" t="s">
        <v>723</v>
      </c>
      <c r="I1536" s="6" t="s">
        <v>28</v>
      </c>
      <c r="J1536" s="6" t="s">
        <v>20</v>
      </c>
      <c r="K1536" s="7">
        <v>25.93</v>
      </c>
    </row>
    <row r="1537" spans="1:11" s="4" customFormat="1" ht="10.199999999999999" x14ac:dyDescent="0.2">
      <c r="A1537" s="6" t="str">
        <f t="shared" si="52"/>
        <v>0012320030</v>
      </c>
      <c r="B1537" s="6" t="str">
        <f>"157791"</f>
        <v>157791</v>
      </c>
      <c r="C1537" s="6" t="s">
        <v>727</v>
      </c>
      <c r="D1537" s="6" t="s">
        <v>71</v>
      </c>
      <c r="E1537" s="6" t="s">
        <v>372</v>
      </c>
      <c r="F1537" s="6">
        <v>28</v>
      </c>
      <c r="G1537" s="6" t="s">
        <v>722</v>
      </c>
      <c r="H1537" s="6" t="s">
        <v>723</v>
      </c>
      <c r="I1537" s="6" t="s">
        <v>35</v>
      </c>
      <c r="J1537" s="6" t="s">
        <v>20</v>
      </c>
      <c r="K1537" s="7">
        <v>20.74</v>
      </c>
    </row>
    <row r="1538" spans="1:11" s="4" customFormat="1" ht="10.199999999999999" x14ac:dyDescent="0.2">
      <c r="A1538" s="6" t="str">
        <f t="shared" si="52"/>
        <v>0012320030</v>
      </c>
      <c r="B1538" s="6" t="str">
        <f>"372068"</f>
        <v>372068</v>
      </c>
      <c r="C1538" s="6" t="s">
        <v>728</v>
      </c>
      <c r="D1538" s="6" t="s">
        <v>71</v>
      </c>
      <c r="E1538" s="6" t="s">
        <v>372</v>
      </c>
      <c r="F1538" s="6">
        <v>28</v>
      </c>
      <c r="G1538" s="6" t="s">
        <v>722</v>
      </c>
      <c r="H1538" s="6" t="s">
        <v>723</v>
      </c>
      <c r="I1538" s="6" t="s">
        <v>211</v>
      </c>
      <c r="J1538" s="6" t="s">
        <v>20</v>
      </c>
      <c r="K1538" s="7">
        <v>20.74</v>
      </c>
    </row>
    <row r="1539" spans="1:11" s="4" customFormat="1" ht="10.199999999999999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7"/>
    </row>
    <row r="1540" spans="1:11" s="4" customFormat="1" ht="10.199999999999999" x14ac:dyDescent="0.2">
      <c r="A1540" s="6" t="str">
        <f t="shared" ref="A1540:A1545" si="53">"0012330030"</f>
        <v>0012330030</v>
      </c>
      <c r="B1540" s="6" t="str">
        <f>"017762"</f>
        <v>017762</v>
      </c>
      <c r="C1540" s="6" t="s">
        <v>721</v>
      </c>
      <c r="D1540" s="6" t="s">
        <v>259</v>
      </c>
      <c r="E1540" s="6" t="s">
        <v>372</v>
      </c>
      <c r="F1540" s="6">
        <v>28</v>
      </c>
      <c r="G1540" s="6" t="s">
        <v>722</v>
      </c>
      <c r="H1540" s="6" t="s">
        <v>723</v>
      </c>
      <c r="I1540" s="6" t="s">
        <v>693</v>
      </c>
      <c r="J1540" s="6" t="s">
        <v>17</v>
      </c>
      <c r="K1540" s="7">
        <v>70.78</v>
      </c>
    </row>
    <row r="1541" spans="1:11" s="4" customFormat="1" ht="10.199999999999999" x14ac:dyDescent="0.2">
      <c r="A1541" s="6" t="str">
        <f t="shared" si="53"/>
        <v>0012330030</v>
      </c>
      <c r="B1541" s="6" t="str">
        <f>"118379"</f>
        <v>118379</v>
      </c>
      <c r="C1541" s="6" t="s">
        <v>724</v>
      </c>
      <c r="D1541" s="6" t="s">
        <v>259</v>
      </c>
      <c r="E1541" s="6" t="s">
        <v>372</v>
      </c>
      <c r="F1541" s="6">
        <v>30</v>
      </c>
      <c r="G1541" s="6" t="s">
        <v>722</v>
      </c>
      <c r="H1541" s="6" t="s">
        <v>723</v>
      </c>
      <c r="I1541" s="6" t="s">
        <v>65</v>
      </c>
      <c r="J1541" s="6" t="s">
        <v>20</v>
      </c>
      <c r="K1541" s="7">
        <v>45.5</v>
      </c>
    </row>
    <row r="1542" spans="1:11" s="4" customFormat="1" ht="10.199999999999999" x14ac:dyDescent="0.2">
      <c r="A1542" s="6" t="str">
        <f t="shared" si="53"/>
        <v>0012330030</v>
      </c>
      <c r="B1542" s="6" t="str">
        <f>"187258"</f>
        <v>187258</v>
      </c>
      <c r="C1542" s="6" t="s">
        <v>726</v>
      </c>
      <c r="D1542" s="6" t="s">
        <v>259</v>
      </c>
      <c r="E1542" s="6" t="s">
        <v>372</v>
      </c>
      <c r="F1542" s="6">
        <v>28</v>
      </c>
      <c r="G1542" s="6" t="s">
        <v>722</v>
      </c>
      <c r="H1542" s="6" t="s">
        <v>723</v>
      </c>
      <c r="I1542" s="6" t="s">
        <v>28</v>
      </c>
      <c r="J1542" s="6" t="s">
        <v>20</v>
      </c>
      <c r="K1542" s="7">
        <v>42.47</v>
      </c>
    </row>
    <row r="1543" spans="1:11" s="4" customFormat="1" ht="10.199999999999999" x14ac:dyDescent="0.2">
      <c r="A1543" s="6" t="str">
        <f t="shared" si="53"/>
        <v>0012330030</v>
      </c>
      <c r="B1543" s="6" t="str">
        <f>"598366"</f>
        <v>598366</v>
      </c>
      <c r="C1543" s="6" t="s">
        <v>725</v>
      </c>
      <c r="D1543" s="6" t="s">
        <v>259</v>
      </c>
      <c r="E1543" s="6" t="s">
        <v>372</v>
      </c>
      <c r="F1543" s="6">
        <v>28</v>
      </c>
      <c r="G1543" s="6" t="s">
        <v>722</v>
      </c>
      <c r="H1543" s="6" t="s">
        <v>723</v>
      </c>
      <c r="I1543" s="6" t="s">
        <v>30</v>
      </c>
      <c r="J1543" s="6" t="s">
        <v>20</v>
      </c>
      <c r="K1543" s="7">
        <v>42.47</v>
      </c>
    </row>
    <row r="1544" spans="1:11" s="4" customFormat="1" ht="10.199999999999999" x14ac:dyDescent="0.2">
      <c r="A1544" s="6" t="str">
        <f t="shared" si="53"/>
        <v>0012330030</v>
      </c>
      <c r="B1544" s="6" t="str">
        <f>"068937"</f>
        <v>068937</v>
      </c>
      <c r="C1544" s="6" t="s">
        <v>728</v>
      </c>
      <c r="D1544" s="6" t="s">
        <v>259</v>
      </c>
      <c r="E1544" s="6" t="s">
        <v>372</v>
      </c>
      <c r="F1544" s="6">
        <v>28</v>
      </c>
      <c r="G1544" s="6" t="s">
        <v>722</v>
      </c>
      <c r="H1544" s="6" t="s">
        <v>723</v>
      </c>
      <c r="I1544" s="6" t="s">
        <v>211</v>
      </c>
      <c r="J1544" s="6" t="s">
        <v>20</v>
      </c>
      <c r="K1544" s="7">
        <v>33.979999999999997</v>
      </c>
    </row>
    <row r="1545" spans="1:11" s="4" customFormat="1" ht="10.199999999999999" x14ac:dyDescent="0.2">
      <c r="A1545" s="6" t="str">
        <f t="shared" si="53"/>
        <v>0012330030</v>
      </c>
      <c r="B1545" s="6" t="str">
        <f>"110374"</f>
        <v>110374</v>
      </c>
      <c r="C1545" s="6" t="s">
        <v>727</v>
      </c>
      <c r="D1545" s="6" t="s">
        <v>259</v>
      </c>
      <c r="E1545" s="6" t="s">
        <v>372</v>
      </c>
      <c r="F1545" s="6">
        <v>28</v>
      </c>
      <c r="G1545" s="6" t="s">
        <v>722</v>
      </c>
      <c r="H1545" s="6" t="s">
        <v>723</v>
      </c>
      <c r="I1545" s="6" t="s">
        <v>35</v>
      </c>
      <c r="J1545" s="6" t="s">
        <v>20</v>
      </c>
      <c r="K1545" s="7">
        <v>33.979999999999997</v>
      </c>
    </row>
    <row r="1546" spans="1:11" s="4" customFormat="1" ht="10.199999999999999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7"/>
    </row>
    <row r="1547" spans="1:11" s="4" customFormat="1" ht="10.199999999999999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7"/>
    </row>
    <row r="1548" spans="1:11" s="4" customFormat="1" ht="10.199999999999999" x14ac:dyDescent="0.2">
      <c r="A1548" s="6" t="str">
        <f t="shared" ref="A1548:A1553" si="54">"0012330084"</f>
        <v>0012330084</v>
      </c>
      <c r="B1548" s="6" t="str">
        <f>"017763"</f>
        <v>017763</v>
      </c>
      <c r="C1548" s="6" t="s">
        <v>721</v>
      </c>
      <c r="D1548" s="6" t="s">
        <v>259</v>
      </c>
      <c r="E1548" s="6" t="s">
        <v>372</v>
      </c>
      <c r="F1548" s="6">
        <v>84</v>
      </c>
      <c r="G1548" s="6" t="s">
        <v>722</v>
      </c>
      <c r="H1548" s="6" t="s">
        <v>723</v>
      </c>
      <c r="I1548" s="6" t="s">
        <v>693</v>
      </c>
      <c r="J1548" s="6" t="s">
        <v>17</v>
      </c>
      <c r="K1548" s="7">
        <v>212.34</v>
      </c>
    </row>
    <row r="1549" spans="1:11" s="4" customFormat="1" ht="10.199999999999999" x14ac:dyDescent="0.2">
      <c r="A1549" s="6" t="str">
        <f t="shared" si="54"/>
        <v>0012330084</v>
      </c>
      <c r="B1549" s="6" t="str">
        <f>"059059"</f>
        <v>059059</v>
      </c>
      <c r="C1549" s="6" t="s">
        <v>724</v>
      </c>
      <c r="D1549" s="6" t="s">
        <v>259</v>
      </c>
      <c r="E1549" s="6" t="s">
        <v>372</v>
      </c>
      <c r="F1549" s="6">
        <v>84</v>
      </c>
      <c r="G1549" s="6" t="s">
        <v>722</v>
      </c>
      <c r="H1549" s="6" t="s">
        <v>723</v>
      </c>
      <c r="I1549" s="6" t="s">
        <v>65</v>
      </c>
      <c r="J1549" s="6" t="s">
        <v>20</v>
      </c>
      <c r="K1549" s="7">
        <v>127.4</v>
      </c>
    </row>
    <row r="1550" spans="1:11" s="4" customFormat="1" ht="10.199999999999999" x14ac:dyDescent="0.2">
      <c r="A1550" s="6" t="str">
        <f t="shared" si="54"/>
        <v>0012330084</v>
      </c>
      <c r="B1550" s="6" t="str">
        <f>"066293"</f>
        <v>066293</v>
      </c>
      <c r="C1550" s="6" t="s">
        <v>725</v>
      </c>
      <c r="D1550" s="6" t="s">
        <v>259</v>
      </c>
      <c r="E1550" s="6" t="s">
        <v>372</v>
      </c>
      <c r="F1550" s="6">
        <v>84</v>
      </c>
      <c r="G1550" s="6" t="s">
        <v>722</v>
      </c>
      <c r="H1550" s="6" t="s">
        <v>723</v>
      </c>
      <c r="I1550" s="6" t="s">
        <v>30</v>
      </c>
      <c r="J1550" s="6" t="s">
        <v>20</v>
      </c>
      <c r="K1550" s="7">
        <v>127.4</v>
      </c>
    </row>
    <row r="1551" spans="1:11" s="4" customFormat="1" ht="10.199999999999999" x14ac:dyDescent="0.2">
      <c r="A1551" s="6" t="str">
        <f t="shared" si="54"/>
        <v>0012330084</v>
      </c>
      <c r="B1551" s="6" t="str">
        <f>"412682"</f>
        <v>412682</v>
      </c>
      <c r="C1551" s="6" t="s">
        <v>726</v>
      </c>
      <c r="D1551" s="6" t="s">
        <v>259</v>
      </c>
      <c r="E1551" s="6" t="s">
        <v>372</v>
      </c>
      <c r="F1551" s="6">
        <v>84</v>
      </c>
      <c r="G1551" s="6" t="s">
        <v>722</v>
      </c>
      <c r="H1551" s="6" t="s">
        <v>723</v>
      </c>
      <c r="I1551" s="6" t="s">
        <v>28</v>
      </c>
      <c r="J1551" s="6" t="s">
        <v>20</v>
      </c>
      <c r="K1551" s="7">
        <v>127.4</v>
      </c>
    </row>
    <row r="1552" spans="1:11" s="4" customFormat="1" ht="10.199999999999999" x14ac:dyDescent="0.2">
      <c r="A1552" s="6" t="str">
        <f t="shared" si="54"/>
        <v>0012330084</v>
      </c>
      <c r="B1552" s="6" t="str">
        <f>"192182"</f>
        <v>192182</v>
      </c>
      <c r="C1552" s="6" t="s">
        <v>728</v>
      </c>
      <c r="D1552" s="6" t="s">
        <v>259</v>
      </c>
      <c r="E1552" s="6" t="s">
        <v>372</v>
      </c>
      <c r="F1552" s="6">
        <v>84</v>
      </c>
      <c r="G1552" s="6" t="s">
        <v>722</v>
      </c>
      <c r="H1552" s="6" t="s">
        <v>723</v>
      </c>
      <c r="I1552" s="6" t="s">
        <v>211</v>
      </c>
      <c r="J1552" s="6" t="s">
        <v>20</v>
      </c>
      <c r="K1552" s="7">
        <v>101.92</v>
      </c>
    </row>
    <row r="1553" spans="1:11" s="4" customFormat="1" ht="10.199999999999999" x14ac:dyDescent="0.2">
      <c r="A1553" s="6" t="str">
        <f t="shared" si="54"/>
        <v>0012330084</v>
      </c>
      <c r="B1553" s="6" t="str">
        <f>"437518"</f>
        <v>437518</v>
      </c>
      <c r="C1553" s="6" t="s">
        <v>727</v>
      </c>
      <c r="D1553" s="6" t="s">
        <v>259</v>
      </c>
      <c r="E1553" s="6" t="s">
        <v>372</v>
      </c>
      <c r="F1553" s="6">
        <v>84</v>
      </c>
      <c r="G1553" s="6" t="s">
        <v>722</v>
      </c>
      <c r="H1553" s="6" t="s">
        <v>723</v>
      </c>
      <c r="I1553" s="6" t="s">
        <v>35</v>
      </c>
      <c r="J1553" s="6" t="s">
        <v>20</v>
      </c>
      <c r="K1553" s="7">
        <v>101.92</v>
      </c>
    </row>
    <row r="1554" spans="1:11" s="4" customFormat="1" ht="10.199999999999999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7"/>
    </row>
    <row r="1555" spans="1:11" s="4" customFormat="1" ht="10.199999999999999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7"/>
    </row>
    <row r="1556" spans="1:11" s="4" customFormat="1" ht="10.199999999999999" x14ac:dyDescent="0.2">
      <c r="A1556" s="6" t="str">
        <f>"0012340030"</f>
        <v>0012340030</v>
      </c>
      <c r="B1556" s="6" t="str">
        <f>"017787"</f>
        <v>017787</v>
      </c>
      <c r="C1556" s="6" t="s">
        <v>721</v>
      </c>
      <c r="D1556" s="6" t="s">
        <v>729</v>
      </c>
      <c r="E1556" s="6" t="s">
        <v>372</v>
      </c>
      <c r="F1556" s="6">
        <v>28</v>
      </c>
      <c r="G1556" s="6" t="s">
        <v>722</v>
      </c>
      <c r="H1556" s="6" t="s">
        <v>723</v>
      </c>
      <c r="I1556" s="6" t="s">
        <v>693</v>
      </c>
      <c r="J1556" s="6" t="s">
        <v>17</v>
      </c>
      <c r="K1556" s="7">
        <v>82.51</v>
      </c>
    </row>
    <row r="1557" spans="1:11" s="4" customFormat="1" ht="10.199999999999999" x14ac:dyDescent="0.2">
      <c r="A1557" s="6" t="str">
        <f>"0012340030"</f>
        <v>0012340030</v>
      </c>
      <c r="B1557" s="6" t="str">
        <f>"469931"</f>
        <v>469931</v>
      </c>
      <c r="C1557" s="6" t="s">
        <v>724</v>
      </c>
      <c r="D1557" s="6" t="s">
        <v>729</v>
      </c>
      <c r="E1557" s="6" t="s">
        <v>372</v>
      </c>
      <c r="F1557" s="6">
        <v>30</v>
      </c>
      <c r="G1557" s="6" t="s">
        <v>722</v>
      </c>
      <c r="H1557" s="6" t="s">
        <v>723</v>
      </c>
      <c r="I1557" s="6" t="s">
        <v>65</v>
      </c>
      <c r="J1557" s="6" t="s">
        <v>20</v>
      </c>
      <c r="K1557" s="7">
        <v>53.04</v>
      </c>
    </row>
    <row r="1558" spans="1:11" s="4" customFormat="1" ht="10.199999999999999" x14ac:dyDescent="0.2">
      <c r="A1558" s="6" t="str">
        <f>"0012340030"</f>
        <v>0012340030</v>
      </c>
      <c r="B1558" s="6" t="str">
        <f>"087358"</f>
        <v>087358</v>
      </c>
      <c r="C1558" s="6" t="s">
        <v>725</v>
      </c>
      <c r="D1558" s="6" t="s">
        <v>729</v>
      </c>
      <c r="E1558" s="6" t="s">
        <v>372</v>
      </c>
      <c r="F1558" s="6">
        <v>28</v>
      </c>
      <c r="G1558" s="6" t="s">
        <v>722</v>
      </c>
      <c r="H1558" s="6" t="s">
        <v>723</v>
      </c>
      <c r="I1558" s="6" t="s">
        <v>30</v>
      </c>
      <c r="J1558" s="6" t="s">
        <v>20</v>
      </c>
      <c r="K1558" s="7">
        <v>49.51</v>
      </c>
    </row>
    <row r="1559" spans="1:11" s="4" customFormat="1" ht="10.199999999999999" x14ac:dyDescent="0.2">
      <c r="A1559" s="6" t="str">
        <f>"0012340030"</f>
        <v>0012340030</v>
      </c>
      <c r="B1559" s="6" t="str">
        <f>"391390"</f>
        <v>391390</v>
      </c>
      <c r="C1559" s="6" t="s">
        <v>726</v>
      </c>
      <c r="D1559" s="6" t="s">
        <v>729</v>
      </c>
      <c r="E1559" s="6" t="s">
        <v>372</v>
      </c>
      <c r="F1559" s="6">
        <v>28</v>
      </c>
      <c r="G1559" s="6" t="s">
        <v>722</v>
      </c>
      <c r="H1559" s="6" t="s">
        <v>723</v>
      </c>
      <c r="I1559" s="6" t="s">
        <v>28</v>
      </c>
      <c r="J1559" s="6" t="s">
        <v>20</v>
      </c>
      <c r="K1559" s="7">
        <v>49.51</v>
      </c>
    </row>
    <row r="1560" spans="1:11" s="4" customFormat="1" ht="10.199999999999999" x14ac:dyDescent="0.2">
      <c r="A1560" s="6" t="str">
        <f>"0012340030"</f>
        <v>0012340030</v>
      </c>
      <c r="B1560" s="6" t="str">
        <f>"050002"</f>
        <v>050002</v>
      </c>
      <c r="C1560" s="6" t="s">
        <v>728</v>
      </c>
      <c r="D1560" s="6" t="s">
        <v>729</v>
      </c>
      <c r="E1560" s="6" t="s">
        <v>372</v>
      </c>
      <c r="F1560" s="6">
        <v>28</v>
      </c>
      <c r="G1560" s="6" t="s">
        <v>722</v>
      </c>
      <c r="H1560" s="6" t="s">
        <v>723</v>
      </c>
      <c r="I1560" s="6" t="s">
        <v>211</v>
      </c>
      <c r="J1560" s="6" t="s">
        <v>20</v>
      </c>
      <c r="K1560" s="7">
        <v>39.61</v>
      </c>
    </row>
    <row r="1561" spans="1:11" s="4" customFormat="1" ht="10.199999999999999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7"/>
    </row>
    <row r="1562" spans="1:11" s="4" customFormat="1" ht="10.199999999999999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7"/>
    </row>
    <row r="1563" spans="1:11" s="4" customFormat="1" ht="10.199999999999999" x14ac:dyDescent="0.2">
      <c r="A1563" s="6" t="str">
        <f t="shared" ref="A1563:A1568" si="55">"0012340084"</f>
        <v>0012340084</v>
      </c>
      <c r="B1563" s="6" t="str">
        <f>"017809"</f>
        <v>017809</v>
      </c>
      <c r="C1563" s="6" t="s">
        <v>721</v>
      </c>
      <c r="D1563" s="6" t="s">
        <v>729</v>
      </c>
      <c r="E1563" s="6" t="s">
        <v>372</v>
      </c>
      <c r="F1563" s="6">
        <v>84</v>
      </c>
      <c r="G1563" s="6" t="s">
        <v>722</v>
      </c>
      <c r="H1563" s="6" t="s">
        <v>723</v>
      </c>
      <c r="I1563" s="6" t="s">
        <v>693</v>
      </c>
      <c r="J1563" s="6" t="s">
        <v>17</v>
      </c>
      <c r="K1563" s="7">
        <v>247.54</v>
      </c>
    </row>
    <row r="1564" spans="1:11" s="4" customFormat="1" ht="10.199999999999999" x14ac:dyDescent="0.2">
      <c r="A1564" s="6" t="str">
        <f t="shared" si="55"/>
        <v>0012340084</v>
      </c>
      <c r="B1564" s="6" t="str">
        <f>"090635"</f>
        <v>090635</v>
      </c>
      <c r="C1564" s="6" t="s">
        <v>726</v>
      </c>
      <c r="D1564" s="6" t="s">
        <v>729</v>
      </c>
      <c r="E1564" s="6" t="s">
        <v>372</v>
      </c>
      <c r="F1564" s="6">
        <v>84</v>
      </c>
      <c r="G1564" s="6" t="s">
        <v>722</v>
      </c>
      <c r="H1564" s="6" t="s">
        <v>723</v>
      </c>
      <c r="I1564" s="6" t="s">
        <v>28</v>
      </c>
      <c r="J1564" s="6" t="s">
        <v>20</v>
      </c>
      <c r="K1564" s="7">
        <v>148.52000000000001</v>
      </c>
    </row>
    <row r="1565" spans="1:11" s="4" customFormat="1" ht="10.199999999999999" x14ac:dyDescent="0.2">
      <c r="A1565" s="6" t="str">
        <f t="shared" si="55"/>
        <v>0012340084</v>
      </c>
      <c r="B1565" s="6" t="str">
        <f>"146352"</f>
        <v>146352</v>
      </c>
      <c r="C1565" s="6" t="s">
        <v>725</v>
      </c>
      <c r="D1565" s="6" t="s">
        <v>729</v>
      </c>
      <c r="E1565" s="6" t="s">
        <v>372</v>
      </c>
      <c r="F1565" s="6">
        <v>84</v>
      </c>
      <c r="G1565" s="6" t="s">
        <v>722</v>
      </c>
      <c r="H1565" s="6" t="s">
        <v>723</v>
      </c>
      <c r="I1565" s="6" t="s">
        <v>30</v>
      </c>
      <c r="J1565" s="6" t="s">
        <v>20</v>
      </c>
      <c r="K1565" s="7">
        <v>148.52000000000001</v>
      </c>
    </row>
    <row r="1566" spans="1:11" s="4" customFormat="1" ht="10.199999999999999" x14ac:dyDescent="0.2">
      <c r="A1566" s="6" t="str">
        <f t="shared" si="55"/>
        <v>0012340084</v>
      </c>
      <c r="B1566" s="6" t="str">
        <f>"389404"</f>
        <v>389404</v>
      </c>
      <c r="C1566" s="6" t="s">
        <v>724</v>
      </c>
      <c r="D1566" s="6" t="s">
        <v>729</v>
      </c>
      <c r="E1566" s="6" t="s">
        <v>372</v>
      </c>
      <c r="F1566" s="6">
        <v>84</v>
      </c>
      <c r="G1566" s="6" t="s">
        <v>722</v>
      </c>
      <c r="H1566" s="6" t="s">
        <v>723</v>
      </c>
      <c r="I1566" s="6" t="s">
        <v>65</v>
      </c>
      <c r="J1566" s="6" t="s">
        <v>20</v>
      </c>
      <c r="K1566" s="7">
        <v>148.52000000000001</v>
      </c>
    </row>
    <row r="1567" spans="1:11" s="4" customFormat="1" ht="10.199999999999999" x14ac:dyDescent="0.2">
      <c r="A1567" s="6" t="str">
        <f t="shared" si="55"/>
        <v>0012340084</v>
      </c>
      <c r="B1567" s="6" t="str">
        <f>"486023"</f>
        <v>486023</v>
      </c>
      <c r="C1567" s="6" t="s">
        <v>727</v>
      </c>
      <c r="D1567" s="6" t="s">
        <v>729</v>
      </c>
      <c r="E1567" s="6" t="s">
        <v>372</v>
      </c>
      <c r="F1567" s="6">
        <v>84</v>
      </c>
      <c r="G1567" s="6" t="s">
        <v>722</v>
      </c>
      <c r="H1567" s="6" t="s">
        <v>723</v>
      </c>
      <c r="I1567" s="6" t="s">
        <v>35</v>
      </c>
      <c r="J1567" s="6" t="s">
        <v>20</v>
      </c>
      <c r="K1567" s="7">
        <v>118.82</v>
      </c>
    </row>
    <row r="1568" spans="1:11" s="4" customFormat="1" ht="10.199999999999999" x14ac:dyDescent="0.2">
      <c r="A1568" s="6" t="str">
        <f t="shared" si="55"/>
        <v>0012340084</v>
      </c>
      <c r="B1568" s="6" t="str">
        <f>"498340"</f>
        <v>498340</v>
      </c>
      <c r="C1568" s="6" t="s">
        <v>728</v>
      </c>
      <c r="D1568" s="6" t="s">
        <v>729</v>
      </c>
      <c r="E1568" s="6" t="s">
        <v>372</v>
      </c>
      <c r="F1568" s="6">
        <v>84</v>
      </c>
      <c r="G1568" s="6" t="s">
        <v>722</v>
      </c>
      <c r="H1568" s="6" t="s">
        <v>723</v>
      </c>
      <c r="I1568" s="6" t="s">
        <v>211</v>
      </c>
      <c r="J1568" s="6" t="s">
        <v>20</v>
      </c>
      <c r="K1568" s="7">
        <v>118.82</v>
      </c>
    </row>
    <row r="1569" spans="1:11" s="4" customFormat="1" ht="10.199999999999999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7"/>
    </row>
    <row r="1570" spans="1:11" s="4" customFormat="1" ht="10.199999999999999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7"/>
    </row>
    <row r="1571" spans="1:11" s="4" customFormat="1" ht="10.199999999999999" x14ac:dyDescent="0.2">
      <c r="A1571" s="6" t="str">
        <f t="shared" ref="A1571:A1579" si="56">"0004050030"</f>
        <v>0004050030</v>
      </c>
      <c r="B1571" s="6" t="str">
        <f>"010312"</f>
        <v>010312</v>
      </c>
      <c r="C1571" s="6" t="s">
        <v>730</v>
      </c>
      <c r="D1571" s="6" t="s">
        <v>39</v>
      </c>
      <c r="E1571" s="6" t="s">
        <v>13</v>
      </c>
      <c r="F1571" s="6">
        <v>30</v>
      </c>
      <c r="G1571" s="6" t="s">
        <v>731</v>
      </c>
      <c r="H1571" s="6" t="s">
        <v>732</v>
      </c>
      <c r="I1571" s="6" t="s">
        <v>669</v>
      </c>
      <c r="J1571" s="6" t="s">
        <v>17</v>
      </c>
      <c r="K1571" s="7">
        <v>40.729999999999997</v>
      </c>
    </row>
    <row r="1572" spans="1:11" s="4" customFormat="1" ht="20.399999999999999" x14ac:dyDescent="0.2">
      <c r="A1572" s="6" t="str">
        <f t="shared" si="56"/>
        <v>0004050030</v>
      </c>
      <c r="B1572" s="6" t="str">
        <f>"062202"</f>
        <v>062202</v>
      </c>
      <c r="C1572" s="6" t="s">
        <v>733</v>
      </c>
      <c r="D1572" s="6" t="s">
        <v>39</v>
      </c>
      <c r="E1572" s="6" t="s">
        <v>13</v>
      </c>
      <c r="F1572" s="6">
        <v>30</v>
      </c>
      <c r="G1572" s="6" t="s">
        <v>731</v>
      </c>
      <c r="H1572" s="6" t="s">
        <v>732</v>
      </c>
      <c r="I1572" s="6" t="s">
        <v>734</v>
      </c>
      <c r="J1572" s="6" t="s">
        <v>20</v>
      </c>
      <c r="K1572" s="7">
        <v>17.11</v>
      </c>
    </row>
    <row r="1573" spans="1:11" s="4" customFormat="1" ht="10.199999999999999" x14ac:dyDescent="0.2">
      <c r="A1573" s="6" t="str">
        <f t="shared" si="56"/>
        <v>0004050030</v>
      </c>
      <c r="B1573" s="6" t="str">
        <f>"079272"</f>
        <v>079272</v>
      </c>
      <c r="C1573" s="6" t="s">
        <v>735</v>
      </c>
      <c r="D1573" s="6" t="s">
        <v>39</v>
      </c>
      <c r="E1573" s="6" t="s">
        <v>13</v>
      </c>
      <c r="F1573" s="6">
        <v>30</v>
      </c>
      <c r="G1573" s="6" t="s">
        <v>731</v>
      </c>
      <c r="H1573" s="6" t="s">
        <v>732</v>
      </c>
      <c r="I1573" s="6" t="s">
        <v>65</v>
      </c>
      <c r="J1573" s="6" t="s">
        <v>20</v>
      </c>
      <c r="K1573" s="7">
        <v>17.11</v>
      </c>
    </row>
    <row r="1574" spans="1:11" s="4" customFormat="1" ht="10.199999999999999" x14ac:dyDescent="0.2">
      <c r="A1574" s="6" t="str">
        <f t="shared" si="56"/>
        <v>0004050030</v>
      </c>
      <c r="B1574" s="6" t="str">
        <f>"138389"</f>
        <v>138389</v>
      </c>
      <c r="C1574" s="6" t="s">
        <v>736</v>
      </c>
      <c r="D1574" s="6" t="s">
        <v>39</v>
      </c>
      <c r="E1574" s="6" t="s">
        <v>13</v>
      </c>
      <c r="F1574" s="6">
        <v>28</v>
      </c>
      <c r="G1574" s="6" t="s">
        <v>731</v>
      </c>
      <c r="H1574" s="6" t="s">
        <v>732</v>
      </c>
      <c r="I1574" s="6" t="s">
        <v>409</v>
      </c>
      <c r="J1574" s="6" t="s">
        <v>20</v>
      </c>
      <c r="K1574" s="7">
        <v>17.11</v>
      </c>
    </row>
    <row r="1575" spans="1:11" s="4" customFormat="1" ht="10.199999999999999" x14ac:dyDescent="0.2">
      <c r="A1575" s="6" t="str">
        <f t="shared" si="56"/>
        <v>0004050030</v>
      </c>
      <c r="B1575" s="6" t="str">
        <f>"155033"</f>
        <v>155033</v>
      </c>
      <c r="C1575" s="6" t="s">
        <v>737</v>
      </c>
      <c r="D1575" s="6" t="s">
        <v>39</v>
      </c>
      <c r="E1575" s="6" t="s">
        <v>13</v>
      </c>
      <c r="F1575" s="6">
        <v>30</v>
      </c>
      <c r="G1575" s="6" t="s">
        <v>731</v>
      </c>
      <c r="H1575" s="6" t="s">
        <v>732</v>
      </c>
      <c r="I1575" s="6" t="s">
        <v>19</v>
      </c>
      <c r="J1575" s="6" t="s">
        <v>20</v>
      </c>
      <c r="K1575" s="7">
        <v>17.11</v>
      </c>
    </row>
    <row r="1576" spans="1:11" s="4" customFormat="1" ht="10.199999999999999" x14ac:dyDescent="0.2">
      <c r="A1576" s="6" t="str">
        <f t="shared" si="56"/>
        <v>0004050030</v>
      </c>
      <c r="B1576" s="6" t="str">
        <f>"418557"</f>
        <v>418557</v>
      </c>
      <c r="C1576" s="6" t="s">
        <v>738</v>
      </c>
      <c r="D1576" s="6" t="s">
        <v>39</v>
      </c>
      <c r="E1576" s="6" t="s">
        <v>13</v>
      </c>
      <c r="F1576" s="6">
        <v>28</v>
      </c>
      <c r="G1576" s="6" t="s">
        <v>731</v>
      </c>
      <c r="H1576" s="6" t="s">
        <v>732</v>
      </c>
      <c r="I1576" s="6" t="s">
        <v>90</v>
      </c>
      <c r="J1576" s="6" t="s">
        <v>20</v>
      </c>
      <c r="K1576" s="7">
        <v>17.11</v>
      </c>
    </row>
    <row r="1577" spans="1:11" s="4" customFormat="1" ht="10.199999999999999" x14ac:dyDescent="0.2">
      <c r="A1577" s="6" t="str">
        <f t="shared" si="56"/>
        <v>0004050030</v>
      </c>
      <c r="B1577" s="6" t="str">
        <f>"435887"</f>
        <v>435887</v>
      </c>
      <c r="C1577" s="6" t="s">
        <v>739</v>
      </c>
      <c r="D1577" s="6" t="s">
        <v>39</v>
      </c>
      <c r="E1577" s="6" t="s">
        <v>13</v>
      </c>
      <c r="F1577" s="6">
        <v>30</v>
      </c>
      <c r="G1577" s="6" t="s">
        <v>731</v>
      </c>
      <c r="H1577" s="6" t="s">
        <v>732</v>
      </c>
      <c r="I1577" s="6" t="s">
        <v>740</v>
      </c>
      <c r="J1577" s="6" t="s">
        <v>20</v>
      </c>
      <c r="K1577" s="7">
        <v>17.11</v>
      </c>
    </row>
    <row r="1578" spans="1:11" s="4" customFormat="1" ht="10.199999999999999" x14ac:dyDescent="0.2">
      <c r="A1578" s="6" t="str">
        <f t="shared" si="56"/>
        <v>0004050030</v>
      </c>
      <c r="B1578" s="6" t="str">
        <f>"546524"</f>
        <v>546524</v>
      </c>
      <c r="C1578" s="6" t="s">
        <v>741</v>
      </c>
      <c r="D1578" s="6" t="s">
        <v>39</v>
      </c>
      <c r="E1578" s="6" t="s">
        <v>13</v>
      </c>
      <c r="F1578" s="6">
        <v>30</v>
      </c>
      <c r="G1578" s="6" t="s">
        <v>731</v>
      </c>
      <c r="H1578" s="6" t="s">
        <v>732</v>
      </c>
      <c r="I1578" s="6" t="s">
        <v>211</v>
      </c>
      <c r="J1578" s="6" t="s">
        <v>20</v>
      </c>
      <c r="K1578" s="7">
        <v>17.11</v>
      </c>
    </row>
    <row r="1579" spans="1:11" s="4" customFormat="1" ht="10.199999999999999" x14ac:dyDescent="0.2">
      <c r="A1579" s="6" t="str">
        <f t="shared" si="56"/>
        <v>0004050030</v>
      </c>
      <c r="B1579" s="6" t="str">
        <f>"557617"</f>
        <v>557617</v>
      </c>
      <c r="C1579" s="6" t="s">
        <v>742</v>
      </c>
      <c r="D1579" s="6" t="s">
        <v>39</v>
      </c>
      <c r="E1579" s="6" t="s">
        <v>13</v>
      </c>
      <c r="F1579" s="6">
        <v>28</v>
      </c>
      <c r="G1579" s="6" t="s">
        <v>731</v>
      </c>
      <c r="H1579" s="6" t="s">
        <v>732</v>
      </c>
      <c r="I1579" s="6" t="s">
        <v>743</v>
      </c>
      <c r="J1579" s="6" t="s">
        <v>20</v>
      </c>
      <c r="K1579" s="7">
        <v>17.11</v>
      </c>
    </row>
    <row r="1580" spans="1:11" s="4" customFormat="1" ht="10.199999999999999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7"/>
    </row>
    <row r="1581" spans="1:11" s="4" customFormat="1" ht="10.199999999999999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7"/>
    </row>
    <row r="1582" spans="1:11" s="4" customFormat="1" ht="10.199999999999999" x14ac:dyDescent="0.2">
      <c r="A1582" s="6" t="str">
        <f>"0004050050"</f>
        <v>0004050050</v>
      </c>
      <c r="B1582" s="6" t="str">
        <f>"010323"</f>
        <v>010323</v>
      </c>
      <c r="C1582" s="6" t="s">
        <v>730</v>
      </c>
      <c r="D1582" s="6" t="s">
        <v>39</v>
      </c>
      <c r="E1582" s="6" t="s">
        <v>13</v>
      </c>
      <c r="F1582" s="6">
        <v>50</v>
      </c>
      <c r="G1582" s="6" t="s">
        <v>731</v>
      </c>
      <c r="H1582" s="6" t="s">
        <v>732</v>
      </c>
      <c r="I1582" s="6" t="s">
        <v>669</v>
      </c>
      <c r="J1582" s="6" t="s">
        <v>17</v>
      </c>
      <c r="K1582" s="7">
        <v>67.849999999999994</v>
      </c>
    </row>
    <row r="1583" spans="1:11" s="4" customFormat="1" ht="20.399999999999999" x14ac:dyDescent="0.2">
      <c r="A1583" s="6" t="str">
        <f>"0004050050"</f>
        <v>0004050050</v>
      </c>
      <c r="B1583" s="6" t="str">
        <f>"049680"</f>
        <v>049680</v>
      </c>
      <c r="C1583" s="6" t="s">
        <v>733</v>
      </c>
      <c r="D1583" s="6" t="s">
        <v>39</v>
      </c>
      <c r="E1583" s="6" t="s">
        <v>13</v>
      </c>
      <c r="F1583" s="6">
        <v>50</v>
      </c>
      <c r="G1583" s="6" t="s">
        <v>731</v>
      </c>
      <c r="H1583" s="6" t="s">
        <v>732</v>
      </c>
      <c r="I1583" s="6" t="s">
        <v>734</v>
      </c>
      <c r="J1583" s="6" t="s">
        <v>20</v>
      </c>
      <c r="K1583" s="7">
        <v>28.5</v>
      </c>
    </row>
    <row r="1584" spans="1:11" s="4" customFormat="1" ht="10.199999999999999" x14ac:dyDescent="0.2">
      <c r="A1584" s="6" t="str">
        <f>"0004050050"</f>
        <v>0004050050</v>
      </c>
      <c r="B1584" s="6" t="str">
        <f>"079499"</f>
        <v>079499</v>
      </c>
      <c r="C1584" s="6" t="s">
        <v>737</v>
      </c>
      <c r="D1584" s="6" t="s">
        <v>39</v>
      </c>
      <c r="E1584" s="6" t="s">
        <v>13</v>
      </c>
      <c r="F1584" s="6">
        <v>50</v>
      </c>
      <c r="G1584" s="6" t="s">
        <v>731</v>
      </c>
      <c r="H1584" s="6" t="s">
        <v>732</v>
      </c>
      <c r="I1584" s="6" t="s">
        <v>19</v>
      </c>
      <c r="J1584" s="6" t="s">
        <v>20</v>
      </c>
      <c r="K1584" s="7">
        <v>28.5</v>
      </c>
    </row>
    <row r="1585" spans="1:11" s="4" customFormat="1" ht="10.199999999999999" x14ac:dyDescent="0.2">
      <c r="A1585" s="6" t="str">
        <f>"0004050050"</f>
        <v>0004050050</v>
      </c>
      <c r="B1585" s="6" t="str">
        <f>"398485"</f>
        <v>398485</v>
      </c>
      <c r="C1585" s="6" t="s">
        <v>741</v>
      </c>
      <c r="D1585" s="6" t="s">
        <v>39</v>
      </c>
      <c r="E1585" s="6" t="s">
        <v>13</v>
      </c>
      <c r="F1585" s="6">
        <v>50</v>
      </c>
      <c r="G1585" s="6" t="s">
        <v>731</v>
      </c>
      <c r="H1585" s="6" t="s">
        <v>732</v>
      </c>
      <c r="I1585" s="6" t="s">
        <v>211</v>
      </c>
      <c r="J1585" s="6" t="s">
        <v>20</v>
      </c>
      <c r="K1585" s="7">
        <v>28.5</v>
      </c>
    </row>
    <row r="1586" spans="1:11" s="4" customFormat="1" ht="10.199999999999999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7"/>
    </row>
    <row r="1587" spans="1:11" s="4" customFormat="1" ht="10.199999999999999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7"/>
    </row>
    <row r="1588" spans="1:11" s="4" customFormat="1" ht="10.199999999999999" x14ac:dyDescent="0.2">
      <c r="A1588" s="6" t="str">
        <f t="shared" ref="A1588:A1599" si="57">"0004050100"</f>
        <v>0004050100</v>
      </c>
      <c r="B1588" s="6" t="str">
        <f>"094660"</f>
        <v>094660</v>
      </c>
      <c r="C1588" s="6" t="s">
        <v>730</v>
      </c>
      <c r="D1588" s="6" t="s">
        <v>39</v>
      </c>
      <c r="E1588" s="6" t="s">
        <v>13</v>
      </c>
      <c r="F1588" s="6">
        <v>98</v>
      </c>
      <c r="G1588" s="6" t="s">
        <v>731</v>
      </c>
      <c r="H1588" s="6" t="s">
        <v>732</v>
      </c>
      <c r="I1588" s="6" t="s">
        <v>86</v>
      </c>
      <c r="J1588" s="6" t="s">
        <v>87</v>
      </c>
      <c r="K1588" s="7">
        <v>132.18</v>
      </c>
    </row>
    <row r="1589" spans="1:11" s="4" customFormat="1" ht="10.199999999999999" x14ac:dyDescent="0.2">
      <c r="A1589" s="6" t="str">
        <f t="shared" si="57"/>
        <v>0004050100</v>
      </c>
      <c r="B1589" s="6" t="str">
        <f>"010334"</f>
        <v>010334</v>
      </c>
      <c r="C1589" s="6" t="s">
        <v>730</v>
      </c>
      <c r="D1589" s="6" t="s">
        <v>39</v>
      </c>
      <c r="E1589" s="6" t="s">
        <v>13</v>
      </c>
      <c r="F1589" s="6">
        <v>100</v>
      </c>
      <c r="G1589" s="6" t="s">
        <v>731</v>
      </c>
      <c r="H1589" s="6" t="s">
        <v>732</v>
      </c>
      <c r="I1589" s="6" t="s">
        <v>669</v>
      </c>
      <c r="J1589" s="6" t="s">
        <v>17</v>
      </c>
      <c r="K1589" s="7">
        <v>134.88</v>
      </c>
    </row>
    <row r="1590" spans="1:11" s="4" customFormat="1" ht="10.199999999999999" x14ac:dyDescent="0.2">
      <c r="A1590" s="6" t="str">
        <f t="shared" si="57"/>
        <v>0004050100</v>
      </c>
      <c r="B1590" s="6" t="str">
        <f>"043318"</f>
        <v>043318</v>
      </c>
      <c r="C1590" s="6" t="s">
        <v>741</v>
      </c>
      <c r="D1590" s="6" t="s">
        <v>39</v>
      </c>
      <c r="E1590" s="6" t="s">
        <v>13</v>
      </c>
      <c r="F1590" s="6">
        <v>100</v>
      </c>
      <c r="G1590" s="6" t="s">
        <v>731</v>
      </c>
      <c r="H1590" s="6" t="s">
        <v>732</v>
      </c>
      <c r="I1590" s="6" t="s">
        <v>211</v>
      </c>
      <c r="J1590" s="6" t="s">
        <v>20</v>
      </c>
      <c r="K1590" s="7">
        <v>56.65</v>
      </c>
    </row>
    <row r="1591" spans="1:11" s="4" customFormat="1" ht="10.199999999999999" x14ac:dyDescent="0.2">
      <c r="A1591" s="6" t="str">
        <f t="shared" si="57"/>
        <v>0004050100</v>
      </c>
      <c r="B1591" s="6" t="str">
        <f>"375304"</f>
        <v>375304</v>
      </c>
      <c r="C1591" s="6" t="s">
        <v>735</v>
      </c>
      <c r="D1591" s="6" t="s">
        <v>39</v>
      </c>
      <c r="E1591" s="6" t="s">
        <v>13</v>
      </c>
      <c r="F1591" s="6">
        <v>100</v>
      </c>
      <c r="G1591" s="6" t="s">
        <v>731</v>
      </c>
      <c r="H1591" s="6" t="s">
        <v>732</v>
      </c>
      <c r="I1591" s="6" t="s">
        <v>65</v>
      </c>
      <c r="J1591" s="6" t="s">
        <v>20</v>
      </c>
      <c r="K1591" s="7">
        <v>56.65</v>
      </c>
    </row>
    <row r="1592" spans="1:11" s="4" customFormat="1" ht="10.199999999999999" x14ac:dyDescent="0.2">
      <c r="A1592" s="6" t="str">
        <f t="shared" si="57"/>
        <v>0004050100</v>
      </c>
      <c r="B1592" s="6" t="str">
        <f>"433171"</f>
        <v>433171</v>
      </c>
      <c r="C1592" s="6" t="s">
        <v>741</v>
      </c>
      <c r="D1592" s="6" t="s">
        <v>39</v>
      </c>
      <c r="E1592" s="6" t="s">
        <v>13</v>
      </c>
      <c r="F1592" s="6">
        <v>100</v>
      </c>
      <c r="G1592" s="6" t="s">
        <v>731</v>
      </c>
      <c r="H1592" s="6" t="s">
        <v>732</v>
      </c>
      <c r="I1592" s="6" t="s">
        <v>211</v>
      </c>
      <c r="J1592" s="6" t="s">
        <v>20</v>
      </c>
      <c r="K1592" s="7">
        <v>56.65</v>
      </c>
    </row>
    <row r="1593" spans="1:11" s="4" customFormat="1" ht="20.399999999999999" x14ac:dyDescent="0.2">
      <c r="A1593" s="6" t="str">
        <f t="shared" si="57"/>
        <v>0004050100</v>
      </c>
      <c r="B1593" s="6" t="str">
        <f>"434091"</f>
        <v>434091</v>
      </c>
      <c r="C1593" s="6" t="s">
        <v>733</v>
      </c>
      <c r="D1593" s="6" t="s">
        <v>39</v>
      </c>
      <c r="E1593" s="6" t="s">
        <v>13</v>
      </c>
      <c r="F1593" s="6">
        <v>100</v>
      </c>
      <c r="G1593" s="6" t="s">
        <v>731</v>
      </c>
      <c r="H1593" s="6" t="s">
        <v>732</v>
      </c>
      <c r="I1593" s="6" t="s">
        <v>734</v>
      </c>
      <c r="J1593" s="6" t="s">
        <v>20</v>
      </c>
      <c r="K1593" s="7">
        <v>56.65</v>
      </c>
    </row>
    <row r="1594" spans="1:11" s="4" customFormat="1" ht="10.199999999999999" x14ac:dyDescent="0.2">
      <c r="A1594" s="6" t="str">
        <f t="shared" si="57"/>
        <v>0004050100</v>
      </c>
      <c r="B1594" s="6" t="str">
        <f>"463251"</f>
        <v>463251</v>
      </c>
      <c r="C1594" s="6" t="s">
        <v>737</v>
      </c>
      <c r="D1594" s="6" t="s">
        <v>39</v>
      </c>
      <c r="E1594" s="6" t="s">
        <v>13</v>
      </c>
      <c r="F1594" s="6">
        <v>100</v>
      </c>
      <c r="G1594" s="6" t="s">
        <v>731</v>
      </c>
      <c r="H1594" s="6" t="s">
        <v>732</v>
      </c>
      <c r="I1594" s="6" t="s">
        <v>19</v>
      </c>
      <c r="J1594" s="6" t="s">
        <v>20</v>
      </c>
      <c r="K1594" s="7">
        <v>56.65</v>
      </c>
    </row>
    <row r="1595" spans="1:11" s="4" customFormat="1" ht="10.199999999999999" x14ac:dyDescent="0.2">
      <c r="A1595" s="6" t="str">
        <f t="shared" si="57"/>
        <v>0004050100</v>
      </c>
      <c r="B1595" s="6" t="str">
        <f>"139495"</f>
        <v>139495</v>
      </c>
      <c r="C1595" s="6" t="s">
        <v>738</v>
      </c>
      <c r="D1595" s="6" t="s">
        <v>39</v>
      </c>
      <c r="E1595" s="6" t="s">
        <v>13</v>
      </c>
      <c r="F1595" s="6">
        <v>98</v>
      </c>
      <c r="G1595" s="6" t="s">
        <v>731</v>
      </c>
      <c r="H1595" s="6" t="s">
        <v>732</v>
      </c>
      <c r="I1595" s="6" t="s">
        <v>90</v>
      </c>
      <c r="J1595" s="6" t="s">
        <v>20</v>
      </c>
      <c r="K1595" s="7">
        <v>55.52</v>
      </c>
    </row>
    <row r="1596" spans="1:11" s="4" customFormat="1" ht="10.199999999999999" x14ac:dyDescent="0.2">
      <c r="A1596" s="6" t="str">
        <f t="shared" si="57"/>
        <v>0004050100</v>
      </c>
      <c r="B1596" s="6" t="str">
        <f>"144107"</f>
        <v>144107</v>
      </c>
      <c r="C1596" s="6" t="s">
        <v>739</v>
      </c>
      <c r="D1596" s="6" t="s">
        <v>39</v>
      </c>
      <c r="E1596" s="6" t="s">
        <v>13</v>
      </c>
      <c r="F1596" s="6">
        <v>98</v>
      </c>
      <c r="G1596" s="6" t="s">
        <v>731</v>
      </c>
      <c r="H1596" s="6" t="s">
        <v>732</v>
      </c>
      <c r="I1596" s="6" t="s">
        <v>740</v>
      </c>
      <c r="J1596" s="6" t="s">
        <v>20</v>
      </c>
      <c r="K1596" s="7">
        <v>55.52</v>
      </c>
    </row>
    <row r="1597" spans="1:11" s="4" customFormat="1" ht="10.199999999999999" x14ac:dyDescent="0.2">
      <c r="A1597" s="6" t="str">
        <f t="shared" si="57"/>
        <v>0004050100</v>
      </c>
      <c r="B1597" s="6" t="str">
        <f>"163826"</f>
        <v>163826</v>
      </c>
      <c r="C1597" s="6" t="s">
        <v>736</v>
      </c>
      <c r="D1597" s="6" t="s">
        <v>39</v>
      </c>
      <c r="E1597" s="6" t="s">
        <v>13</v>
      </c>
      <c r="F1597" s="6">
        <v>98</v>
      </c>
      <c r="G1597" s="6" t="s">
        <v>731</v>
      </c>
      <c r="H1597" s="6" t="s">
        <v>732</v>
      </c>
      <c r="I1597" s="6" t="s">
        <v>409</v>
      </c>
      <c r="J1597" s="6" t="s">
        <v>20</v>
      </c>
      <c r="K1597" s="7">
        <v>55.52</v>
      </c>
    </row>
    <row r="1598" spans="1:11" s="4" customFormat="1" ht="10.199999999999999" x14ac:dyDescent="0.2">
      <c r="A1598" s="6" t="str">
        <f t="shared" si="57"/>
        <v>0004050100</v>
      </c>
      <c r="B1598" s="6" t="str">
        <f>"195147"</f>
        <v>195147</v>
      </c>
      <c r="C1598" s="6" t="s">
        <v>742</v>
      </c>
      <c r="D1598" s="6" t="s">
        <v>39</v>
      </c>
      <c r="E1598" s="6" t="s">
        <v>13</v>
      </c>
      <c r="F1598" s="6">
        <v>98</v>
      </c>
      <c r="G1598" s="6" t="s">
        <v>731</v>
      </c>
      <c r="H1598" s="6" t="s">
        <v>732</v>
      </c>
      <c r="I1598" s="6" t="s">
        <v>743</v>
      </c>
      <c r="J1598" s="6" t="s">
        <v>20</v>
      </c>
      <c r="K1598" s="7">
        <v>55.52</v>
      </c>
    </row>
    <row r="1599" spans="1:11" s="4" customFormat="1" ht="10.199999999999999" x14ac:dyDescent="0.2">
      <c r="A1599" s="6" t="str">
        <f t="shared" si="57"/>
        <v>0004050100</v>
      </c>
      <c r="B1599" s="6" t="str">
        <f>"437774"</f>
        <v>437774</v>
      </c>
      <c r="C1599" s="6" t="s">
        <v>744</v>
      </c>
      <c r="D1599" s="6" t="s">
        <v>39</v>
      </c>
      <c r="E1599" s="6" t="s">
        <v>13</v>
      </c>
      <c r="F1599" s="6">
        <v>98</v>
      </c>
      <c r="G1599" s="6" t="s">
        <v>731</v>
      </c>
      <c r="H1599" s="6" t="s">
        <v>732</v>
      </c>
      <c r="I1599" s="6" t="s">
        <v>35</v>
      </c>
      <c r="J1599" s="6" t="s">
        <v>20</v>
      </c>
      <c r="K1599" s="7">
        <v>55.52</v>
      </c>
    </row>
    <row r="1600" spans="1:11" s="4" customFormat="1" ht="10.199999999999999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7"/>
    </row>
    <row r="1601" spans="1:11" s="4" customFormat="1" ht="10.199999999999999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7"/>
    </row>
    <row r="1602" spans="1:11" s="4" customFormat="1" ht="20.399999999999999" x14ac:dyDescent="0.2">
      <c r="A1602" s="6" t="str">
        <f>"0004060050"</f>
        <v>0004060050</v>
      </c>
      <c r="B1602" s="6" t="str">
        <f>"010290"</f>
        <v>010290</v>
      </c>
      <c r="C1602" s="6" t="s">
        <v>730</v>
      </c>
      <c r="D1602" s="6" t="s">
        <v>745</v>
      </c>
      <c r="E1602" s="6" t="s">
        <v>746</v>
      </c>
      <c r="F1602" s="6" t="s">
        <v>747</v>
      </c>
      <c r="G1602" s="6" t="s">
        <v>731</v>
      </c>
      <c r="H1602" s="6" t="s">
        <v>732</v>
      </c>
      <c r="I1602" s="6" t="s">
        <v>669</v>
      </c>
      <c r="J1602" s="6" t="s">
        <v>17</v>
      </c>
      <c r="K1602" s="7">
        <v>67.87</v>
      </c>
    </row>
    <row r="1603" spans="1:11" s="4" customFormat="1" ht="10.199999999999999" x14ac:dyDescent="0.2">
      <c r="A1603" s="6" t="str">
        <f>"0004060050"</f>
        <v>0004060050</v>
      </c>
      <c r="B1603" s="6" t="str">
        <f>"177251"</f>
        <v>177251</v>
      </c>
      <c r="C1603" s="6" t="s">
        <v>748</v>
      </c>
      <c r="D1603" s="6" t="s">
        <v>749</v>
      </c>
      <c r="E1603" s="6" t="s">
        <v>746</v>
      </c>
      <c r="F1603" s="6" t="s">
        <v>747</v>
      </c>
      <c r="G1603" s="6" t="s">
        <v>731</v>
      </c>
      <c r="H1603" s="6" t="s">
        <v>732</v>
      </c>
      <c r="I1603" s="6" t="s">
        <v>65</v>
      </c>
      <c r="J1603" s="6" t="s">
        <v>20</v>
      </c>
      <c r="K1603" s="7">
        <v>28.5</v>
      </c>
    </row>
    <row r="1604" spans="1:11" s="4" customFormat="1" ht="20.399999999999999" x14ac:dyDescent="0.2">
      <c r="A1604" s="6" t="str">
        <f>"0004060050"</f>
        <v>0004060050</v>
      </c>
      <c r="B1604" s="6" t="str">
        <f>"485741"</f>
        <v>485741</v>
      </c>
      <c r="C1604" s="6" t="s">
        <v>733</v>
      </c>
      <c r="D1604" s="6" t="s">
        <v>745</v>
      </c>
      <c r="E1604" s="6" t="s">
        <v>746</v>
      </c>
      <c r="F1604" s="6" t="s">
        <v>747</v>
      </c>
      <c r="G1604" s="6" t="s">
        <v>731</v>
      </c>
      <c r="H1604" s="6" t="s">
        <v>732</v>
      </c>
      <c r="I1604" s="6" t="s">
        <v>734</v>
      </c>
      <c r="J1604" s="6" t="s">
        <v>20</v>
      </c>
      <c r="K1604" s="7">
        <v>28.5</v>
      </c>
    </row>
    <row r="1605" spans="1:11" s="4" customFormat="1" ht="10.199999999999999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7"/>
    </row>
    <row r="1606" spans="1:11" s="4" customFormat="1" ht="10.199999999999999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7"/>
    </row>
    <row r="1607" spans="1:11" s="4" customFormat="1" ht="10.199999999999999" x14ac:dyDescent="0.2">
      <c r="A1607" s="6" t="str">
        <f t="shared" ref="A1607:A1615" si="58">"0009890030"</f>
        <v>0009890030</v>
      </c>
      <c r="B1607" s="6" t="str">
        <f>"151518"</f>
        <v>151518</v>
      </c>
      <c r="C1607" s="6" t="s">
        <v>730</v>
      </c>
      <c r="D1607" s="6" t="s">
        <v>22</v>
      </c>
      <c r="E1607" s="6" t="s">
        <v>13</v>
      </c>
      <c r="F1607" s="6">
        <v>28</v>
      </c>
      <c r="G1607" s="6" t="s">
        <v>731</v>
      </c>
      <c r="H1607" s="6" t="s">
        <v>732</v>
      </c>
      <c r="I1607" s="6" t="s">
        <v>669</v>
      </c>
      <c r="J1607" s="6" t="s">
        <v>17</v>
      </c>
      <c r="K1607" s="7">
        <v>76</v>
      </c>
    </row>
    <row r="1608" spans="1:11" s="4" customFormat="1" ht="10.199999999999999" x14ac:dyDescent="0.2">
      <c r="A1608" s="6" t="str">
        <f t="shared" si="58"/>
        <v>0009890030</v>
      </c>
      <c r="B1608" s="6" t="str">
        <f>"380833"</f>
        <v>380833</v>
      </c>
      <c r="C1608" s="6" t="s">
        <v>737</v>
      </c>
      <c r="D1608" s="6" t="s">
        <v>22</v>
      </c>
      <c r="E1608" s="6" t="s">
        <v>13</v>
      </c>
      <c r="F1608" s="6">
        <v>30</v>
      </c>
      <c r="G1608" s="6" t="s">
        <v>731</v>
      </c>
      <c r="H1608" s="6" t="s">
        <v>732</v>
      </c>
      <c r="I1608" s="6" t="s">
        <v>19</v>
      </c>
      <c r="J1608" s="6" t="s">
        <v>20</v>
      </c>
      <c r="K1608" s="7">
        <v>34.200000000000003</v>
      </c>
    </row>
    <row r="1609" spans="1:11" s="4" customFormat="1" ht="10.199999999999999" x14ac:dyDescent="0.2">
      <c r="A1609" s="6" t="str">
        <f t="shared" si="58"/>
        <v>0009890030</v>
      </c>
      <c r="B1609" s="6" t="str">
        <f>"092517"</f>
        <v>092517</v>
      </c>
      <c r="C1609" s="6" t="s">
        <v>742</v>
      </c>
      <c r="D1609" s="6" t="s">
        <v>22</v>
      </c>
      <c r="E1609" s="6" t="s">
        <v>13</v>
      </c>
      <c r="F1609" s="6">
        <v>28</v>
      </c>
      <c r="G1609" s="6" t="s">
        <v>731</v>
      </c>
      <c r="H1609" s="6" t="s">
        <v>732</v>
      </c>
      <c r="I1609" s="6" t="s">
        <v>743</v>
      </c>
      <c r="J1609" s="6" t="s">
        <v>20</v>
      </c>
      <c r="K1609" s="7">
        <v>31.92</v>
      </c>
    </row>
    <row r="1610" spans="1:11" s="4" customFormat="1" ht="10.199999999999999" x14ac:dyDescent="0.2">
      <c r="A1610" s="6" t="str">
        <f t="shared" si="58"/>
        <v>0009890030</v>
      </c>
      <c r="B1610" s="6" t="str">
        <f>"194091"</f>
        <v>194091</v>
      </c>
      <c r="C1610" s="6" t="s">
        <v>738</v>
      </c>
      <c r="D1610" s="6" t="s">
        <v>22</v>
      </c>
      <c r="E1610" s="6" t="s">
        <v>13</v>
      </c>
      <c r="F1610" s="6">
        <v>28</v>
      </c>
      <c r="G1610" s="6" t="s">
        <v>731</v>
      </c>
      <c r="H1610" s="6" t="s">
        <v>732</v>
      </c>
      <c r="I1610" s="6" t="s">
        <v>90</v>
      </c>
      <c r="J1610" s="6" t="s">
        <v>20</v>
      </c>
      <c r="K1610" s="7">
        <v>31.92</v>
      </c>
    </row>
    <row r="1611" spans="1:11" s="4" customFormat="1" ht="20.399999999999999" x14ac:dyDescent="0.2">
      <c r="A1611" s="6" t="str">
        <f t="shared" si="58"/>
        <v>0009890030</v>
      </c>
      <c r="B1611" s="6" t="str">
        <f>"199220"</f>
        <v>199220</v>
      </c>
      <c r="C1611" s="6" t="s">
        <v>741</v>
      </c>
      <c r="D1611" s="6" t="s">
        <v>22</v>
      </c>
      <c r="E1611" s="6" t="s">
        <v>13</v>
      </c>
      <c r="F1611" s="6">
        <v>28</v>
      </c>
      <c r="G1611" s="6" t="s">
        <v>731</v>
      </c>
      <c r="H1611" s="6" t="s">
        <v>732</v>
      </c>
      <c r="I1611" s="6" t="s">
        <v>124</v>
      </c>
      <c r="J1611" s="6" t="s">
        <v>20</v>
      </c>
      <c r="K1611" s="7">
        <v>31.92</v>
      </c>
    </row>
    <row r="1612" spans="1:11" s="4" customFormat="1" ht="10.199999999999999" x14ac:dyDescent="0.2">
      <c r="A1612" s="6" t="str">
        <f t="shared" si="58"/>
        <v>0009890030</v>
      </c>
      <c r="B1612" s="6" t="str">
        <f>"408509"</f>
        <v>408509</v>
      </c>
      <c r="C1612" s="6" t="s">
        <v>739</v>
      </c>
      <c r="D1612" s="6" t="s">
        <v>22</v>
      </c>
      <c r="E1612" s="6" t="s">
        <v>13</v>
      </c>
      <c r="F1612" s="6">
        <v>28</v>
      </c>
      <c r="G1612" s="6" t="s">
        <v>731</v>
      </c>
      <c r="H1612" s="6" t="s">
        <v>732</v>
      </c>
      <c r="I1612" s="6" t="s">
        <v>740</v>
      </c>
      <c r="J1612" s="6" t="s">
        <v>20</v>
      </c>
      <c r="K1612" s="7">
        <v>31.92</v>
      </c>
    </row>
    <row r="1613" spans="1:11" s="4" customFormat="1" ht="10.199999999999999" x14ac:dyDescent="0.2">
      <c r="A1613" s="6" t="str">
        <f t="shared" si="58"/>
        <v>0009890030</v>
      </c>
      <c r="B1613" s="6" t="str">
        <f>"440284"</f>
        <v>440284</v>
      </c>
      <c r="C1613" s="6" t="s">
        <v>736</v>
      </c>
      <c r="D1613" s="6" t="s">
        <v>22</v>
      </c>
      <c r="E1613" s="6" t="s">
        <v>13</v>
      </c>
      <c r="F1613" s="6">
        <v>28</v>
      </c>
      <c r="G1613" s="6" t="s">
        <v>731</v>
      </c>
      <c r="H1613" s="6" t="s">
        <v>732</v>
      </c>
      <c r="I1613" s="6" t="s">
        <v>409</v>
      </c>
      <c r="J1613" s="6" t="s">
        <v>20</v>
      </c>
      <c r="K1613" s="7">
        <v>31.92</v>
      </c>
    </row>
    <row r="1614" spans="1:11" s="4" customFormat="1" ht="10.199999999999999" x14ac:dyDescent="0.2">
      <c r="A1614" s="6" t="str">
        <f t="shared" si="58"/>
        <v>0009890030</v>
      </c>
      <c r="B1614" s="6" t="str">
        <f>"483903"</f>
        <v>483903</v>
      </c>
      <c r="C1614" s="6" t="s">
        <v>735</v>
      </c>
      <c r="D1614" s="6" t="s">
        <v>22</v>
      </c>
      <c r="E1614" s="6" t="s">
        <v>13</v>
      </c>
      <c r="F1614" s="6">
        <v>28</v>
      </c>
      <c r="G1614" s="6" t="s">
        <v>731</v>
      </c>
      <c r="H1614" s="6" t="s">
        <v>732</v>
      </c>
      <c r="I1614" s="6" t="s">
        <v>65</v>
      </c>
      <c r="J1614" s="6" t="s">
        <v>20</v>
      </c>
      <c r="K1614" s="7">
        <v>31.92</v>
      </c>
    </row>
    <row r="1615" spans="1:11" s="4" customFormat="1" ht="20.399999999999999" x14ac:dyDescent="0.2">
      <c r="A1615" s="6" t="str">
        <f t="shared" si="58"/>
        <v>0009890030</v>
      </c>
      <c r="B1615" s="6" t="str">
        <f>"549255"</f>
        <v>549255</v>
      </c>
      <c r="C1615" s="6" t="s">
        <v>733</v>
      </c>
      <c r="D1615" s="6" t="s">
        <v>22</v>
      </c>
      <c r="E1615" s="6" t="s">
        <v>13</v>
      </c>
      <c r="F1615" s="6">
        <v>28</v>
      </c>
      <c r="G1615" s="6" t="s">
        <v>731</v>
      </c>
      <c r="H1615" s="6" t="s">
        <v>732</v>
      </c>
      <c r="I1615" s="6" t="s">
        <v>734</v>
      </c>
      <c r="J1615" s="6" t="s">
        <v>20</v>
      </c>
      <c r="K1615" s="7">
        <v>31.92</v>
      </c>
    </row>
    <row r="1616" spans="1:11" s="4" customFormat="1" ht="10.199999999999999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7"/>
    </row>
    <row r="1617" spans="1:11" s="4" customFormat="1" ht="10.199999999999999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7"/>
    </row>
    <row r="1618" spans="1:11" s="4" customFormat="1" ht="10.199999999999999" x14ac:dyDescent="0.2">
      <c r="A1618" s="6" t="str">
        <f t="shared" ref="A1618:A1629" si="59">"0009890100"</f>
        <v>0009890100</v>
      </c>
      <c r="B1618" s="6" t="str">
        <f>"151529"</f>
        <v>151529</v>
      </c>
      <c r="C1618" s="6" t="s">
        <v>730</v>
      </c>
      <c r="D1618" s="6" t="s">
        <v>22</v>
      </c>
      <c r="E1618" s="6" t="s">
        <v>13</v>
      </c>
      <c r="F1618" s="6">
        <v>98</v>
      </c>
      <c r="G1618" s="6" t="s">
        <v>731</v>
      </c>
      <c r="H1618" s="6" t="s">
        <v>732</v>
      </c>
      <c r="I1618" s="6" t="s">
        <v>669</v>
      </c>
      <c r="J1618" s="6" t="s">
        <v>17</v>
      </c>
      <c r="K1618" s="7">
        <v>264.37</v>
      </c>
    </row>
    <row r="1619" spans="1:11" s="4" customFormat="1" ht="10.199999999999999" x14ac:dyDescent="0.2">
      <c r="A1619" s="6" t="str">
        <f t="shared" si="59"/>
        <v>0009890100</v>
      </c>
      <c r="B1619" s="6" t="str">
        <f>"463883"</f>
        <v>463883</v>
      </c>
      <c r="C1619" s="6" t="s">
        <v>730</v>
      </c>
      <c r="D1619" s="6" t="s">
        <v>22</v>
      </c>
      <c r="E1619" s="6" t="s">
        <v>13</v>
      </c>
      <c r="F1619" s="6">
        <v>98</v>
      </c>
      <c r="G1619" s="6" t="s">
        <v>731</v>
      </c>
      <c r="H1619" s="6" t="s">
        <v>732</v>
      </c>
      <c r="I1619" s="6" t="s">
        <v>86</v>
      </c>
      <c r="J1619" s="6" t="s">
        <v>87</v>
      </c>
      <c r="K1619" s="7">
        <v>264.37</v>
      </c>
    </row>
    <row r="1620" spans="1:11" s="4" customFormat="1" ht="20.399999999999999" x14ac:dyDescent="0.2">
      <c r="A1620" s="6" t="str">
        <f t="shared" si="59"/>
        <v>0009890100</v>
      </c>
      <c r="B1620" s="6" t="str">
        <f>"129211"</f>
        <v>129211</v>
      </c>
      <c r="C1620" s="6" t="s">
        <v>741</v>
      </c>
      <c r="D1620" s="6" t="s">
        <v>22</v>
      </c>
      <c r="E1620" s="6" t="s">
        <v>13</v>
      </c>
      <c r="F1620" s="6">
        <v>100</v>
      </c>
      <c r="G1620" s="6" t="s">
        <v>731</v>
      </c>
      <c r="H1620" s="6" t="s">
        <v>732</v>
      </c>
      <c r="I1620" s="6" t="s">
        <v>124</v>
      </c>
      <c r="J1620" s="6" t="s">
        <v>20</v>
      </c>
      <c r="K1620" s="7">
        <v>113.3</v>
      </c>
    </row>
    <row r="1621" spans="1:11" s="4" customFormat="1" ht="10.199999999999999" x14ac:dyDescent="0.2">
      <c r="A1621" s="6" t="str">
        <f t="shared" si="59"/>
        <v>0009890100</v>
      </c>
      <c r="B1621" s="6" t="str">
        <f>"186790"</f>
        <v>186790</v>
      </c>
      <c r="C1621" s="6" t="s">
        <v>737</v>
      </c>
      <c r="D1621" s="6" t="s">
        <v>22</v>
      </c>
      <c r="E1621" s="6" t="s">
        <v>13</v>
      </c>
      <c r="F1621" s="6">
        <v>100</v>
      </c>
      <c r="G1621" s="6" t="s">
        <v>731</v>
      </c>
      <c r="H1621" s="6" t="s">
        <v>732</v>
      </c>
      <c r="I1621" s="6" t="s">
        <v>19</v>
      </c>
      <c r="J1621" s="6" t="s">
        <v>20</v>
      </c>
      <c r="K1621" s="7">
        <v>113.3</v>
      </c>
    </row>
    <row r="1622" spans="1:11" s="4" customFormat="1" ht="10.199999999999999" x14ac:dyDescent="0.2">
      <c r="A1622" s="6" t="str">
        <f t="shared" si="59"/>
        <v>0009890100</v>
      </c>
      <c r="B1622" s="6" t="str">
        <f>"089399"</f>
        <v>089399</v>
      </c>
      <c r="C1622" s="6" t="s">
        <v>742</v>
      </c>
      <c r="D1622" s="6" t="s">
        <v>22</v>
      </c>
      <c r="E1622" s="6" t="s">
        <v>13</v>
      </c>
      <c r="F1622" s="6">
        <v>98</v>
      </c>
      <c r="G1622" s="6" t="s">
        <v>731</v>
      </c>
      <c r="H1622" s="6" t="s">
        <v>732</v>
      </c>
      <c r="I1622" s="6" t="s">
        <v>743</v>
      </c>
      <c r="J1622" s="6" t="s">
        <v>20</v>
      </c>
      <c r="K1622" s="7">
        <v>111.03</v>
      </c>
    </row>
    <row r="1623" spans="1:11" s="4" customFormat="1" ht="10.199999999999999" x14ac:dyDescent="0.2">
      <c r="A1623" s="6" t="str">
        <f t="shared" si="59"/>
        <v>0009890100</v>
      </c>
      <c r="B1623" s="6" t="str">
        <f>"151037"</f>
        <v>151037</v>
      </c>
      <c r="C1623" s="6" t="s">
        <v>735</v>
      </c>
      <c r="D1623" s="6" t="s">
        <v>22</v>
      </c>
      <c r="E1623" s="6" t="s">
        <v>13</v>
      </c>
      <c r="F1623" s="6">
        <v>98</v>
      </c>
      <c r="G1623" s="6" t="s">
        <v>731</v>
      </c>
      <c r="H1623" s="6" t="s">
        <v>732</v>
      </c>
      <c r="I1623" s="6" t="s">
        <v>65</v>
      </c>
      <c r="J1623" s="6" t="s">
        <v>20</v>
      </c>
      <c r="K1623" s="7">
        <v>111.03</v>
      </c>
    </row>
    <row r="1624" spans="1:11" s="4" customFormat="1" ht="10.199999999999999" x14ac:dyDescent="0.2">
      <c r="A1624" s="6" t="str">
        <f t="shared" si="59"/>
        <v>0009890100</v>
      </c>
      <c r="B1624" s="6" t="str">
        <f>"402395"</f>
        <v>402395</v>
      </c>
      <c r="C1624" s="6" t="s">
        <v>744</v>
      </c>
      <c r="D1624" s="6" t="s">
        <v>22</v>
      </c>
      <c r="E1624" s="6" t="s">
        <v>13</v>
      </c>
      <c r="F1624" s="6">
        <v>98</v>
      </c>
      <c r="G1624" s="6" t="s">
        <v>731</v>
      </c>
      <c r="H1624" s="6" t="s">
        <v>732</v>
      </c>
      <c r="I1624" s="6" t="s">
        <v>35</v>
      </c>
      <c r="J1624" s="6" t="s">
        <v>20</v>
      </c>
      <c r="K1624" s="7">
        <v>111.03</v>
      </c>
    </row>
    <row r="1625" spans="1:11" s="4" customFormat="1" ht="10.199999999999999" x14ac:dyDescent="0.2">
      <c r="A1625" s="6" t="str">
        <f t="shared" si="59"/>
        <v>0009890100</v>
      </c>
      <c r="B1625" s="6" t="str">
        <f>"406960"</f>
        <v>406960</v>
      </c>
      <c r="C1625" s="6" t="s">
        <v>738</v>
      </c>
      <c r="D1625" s="6" t="s">
        <v>22</v>
      </c>
      <c r="E1625" s="6" t="s">
        <v>13</v>
      </c>
      <c r="F1625" s="6">
        <v>98</v>
      </c>
      <c r="G1625" s="6" t="s">
        <v>731</v>
      </c>
      <c r="H1625" s="6" t="s">
        <v>732</v>
      </c>
      <c r="I1625" s="6" t="s">
        <v>90</v>
      </c>
      <c r="J1625" s="6" t="s">
        <v>20</v>
      </c>
      <c r="K1625" s="7">
        <v>111.03</v>
      </c>
    </row>
    <row r="1626" spans="1:11" s="4" customFormat="1" ht="10.199999999999999" x14ac:dyDescent="0.2">
      <c r="A1626" s="6" t="str">
        <f t="shared" si="59"/>
        <v>0009890100</v>
      </c>
      <c r="B1626" s="6" t="str">
        <f>"434932"</f>
        <v>434932</v>
      </c>
      <c r="C1626" s="6" t="s">
        <v>736</v>
      </c>
      <c r="D1626" s="6" t="s">
        <v>22</v>
      </c>
      <c r="E1626" s="6" t="s">
        <v>13</v>
      </c>
      <c r="F1626" s="6">
        <v>98</v>
      </c>
      <c r="G1626" s="6" t="s">
        <v>731</v>
      </c>
      <c r="H1626" s="6" t="s">
        <v>732</v>
      </c>
      <c r="I1626" s="6" t="s">
        <v>409</v>
      </c>
      <c r="J1626" s="6" t="s">
        <v>20</v>
      </c>
      <c r="K1626" s="7">
        <v>111.03</v>
      </c>
    </row>
    <row r="1627" spans="1:11" s="4" customFormat="1" ht="10.199999999999999" x14ac:dyDescent="0.2">
      <c r="A1627" s="6" t="str">
        <f t="shared" si="59"/>
        <v>0009890100</v>
      </c>
      <c r="B1627" s="6" t="str">
        <f>"513401"</f>
        <v>513401</v>
      </c>
      <c r="C1627" s="6" t="s">
        <v>739</v>
      </c>
      <c r="D1627" s="6" t="s">
        <v>22</v>
      </c>
      <c r="E1627" s="6" t="s">
        <v>13</v>
      </c>
      <c r="F1627" s="6">
        <v>98</v>
      </c>
      <c r="G1627" s="6" t="s">
        <v>731</v>
      </c>
      <c r="H1627" s="6" t="s">
        <v>732</v>
      </c>
      <c r="I1627" s="6" t="s">
        <v>740</v>
      </c>
      <c r="J1627" s="6" t="s">
        <v>20</v>
      </c>
      <c r="K1627" s="7">
        <v>111.03</v>
      </c>
    </row>
    <row r="1628" spans="1:11" s="4" customFormat="1" ht="20.399999999999999" x14ac:dyDescent="0.2">
      <c r="A1628" s="6" t="str">
        <f t="shared" si="59"/>
        <v>0009890100</v>
      </c>
      <c r="B1628" s="6" t="str">
        <f>"573436"</f>
        <v>573436</v>
      </c>
      <c r="C1628" s="6" t="s">
        <v>733</v>
      </c>
      <c r="D1628" s="6" t="s">
        <v>22</v>
      </c>
      <c r="E1628" s="6" t="s">
        <v>13</v>
      </c>
      <c r="F1628" s="6">
        <v>98</v>
      </c>
      <c r="G1628" s="6" t="s">
        <v>731</v>
      </c>
      <c r="H1628" s="6" t="s">
        <v>732</v>
      </c>
      <c r="I1628" s="6" t="s">
        <v>734</v>
      </c>
      <c r="J1628" s="6" t="s">
        <v>20</v>
      </c>
      <c r="K1628" s="7">
        <v>111.03</v>
      </c>
    </row>
    <row r="1629" spans="1:11" s="4" customFormat="1" ht="20.399999999999999" x14ac:dyDescent="0.2">
      <c r="A1629" s="6" t="str">
        <f t="shared" si="59"/>
        <v>0009890100</v>
      </c>
      <c r="B1629" s="6" t="str">
        <f>"573890"</f>
        <v>573890</v>
      </c>
      <c r="C1629" s="6" t="s">
        <v>741</v>
      </c>
      <c r="D1629" s="6" t="s">
        <v>22</v>
      </c>
      <c r="E1629" s="6" t="s">
        <v>13</v>
      </c>
      <c r="F1629" s="6">
        <v>98</v>
      </c>
      <c r="G1629" s="6" t="s">
        <v>731</v>
      </c>
      <c r="H1629" s="6" t="s">
        <v>732</v>
      </c>
      <c r="I1629" s="6" t="s">
        <v>124</v>
      </c>
      <c r="J1629" s="6" t="s">
        <v>20</v>
      </c>
      <c r="K1629" s="7">
        <v>111.03</v>
      </c>
    </row>
    <row r="1630" spans="1:11" s="4" customFormat="1" ht="10.199999999999999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7"/>
    </row>
    <row r="1631" spans="1:11" s="4" customFormat="1" ht="10.199999999999999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7"/>
    </row>
    <row r="1632" spans="1:11" s="4" customFormat="1" ht="20.399999999999999" x14ac:dyDescent="0.2">
      <c r="A1632" s="6" t="str">
        <f>"0009900028"</f>
        <v>0009900028</v>
      </c>
      <c r="B1632" s="6" t="str">
        <f>"151540"</f>
        <v>151540</v>
      </c>
      <c r="C1632" s="6" t="s">
        <v>750</v>
      </c>
      <c r="D1632" s="6" t="s">
        <v>751</v>
      </c>
      <c r="E1632" s="6" t="s">
        <v>13</v>
      </c>
      <c r="F1632" s="6" t="s">
        <v>752</v>
      </c>
      <c r="G1632" s="6" t="s">
        <v>731</v>
      </c>
      <c r="H1632" s="6" t="s">
        <v>732</v>
      </c>
      <c r="I1632" s="6" t="s">
        <v>669</v>
      </c>
      <c r="J1632" s="6" t="s">
        <v>17</v>
      </c>
      <c r="K1632" s="7">
        <v>47.51</v>
      </c>
    </row>
    <row r="1633" spans="1:11" s="4" customFormat="1" ht="30.6" x14ac:dyDescent="0.2">
      <c r="A1633" s="6" t="str">
        <f>"0009900028"</f>
        <v>0009900028</v>
      </c>
      <c r="B1633" s="6" t="str">
        <f>"501215"</f>
        <v>501215</v>
      </c>
      <c r="C1633" s="6" t="s">
        <v>753</v>
      </c>
      <c r="D1633" s="6" t="s">
        <v>754</v>
      </c>
      <c r="E1633" s="6" t="s">
        <v>13</v>
      </c>
      <c r="F1633" s="6" t="s">
        <v>752</v>
      </c>
      <c r="G1633" s="6" t="s">
        <v>731</v>
      </c>
      <c r="H1633" s="6" t="s">
        <v>732</v>
      </c>
      <c r="I1633" s="6" t="s">
        <v>734</v>
      </c>
      <c r="J1633" s="6" t="s">
        <v>20</v>
      </c>
      <c r="K1633" s="7">
        <v>19.96</v>
      </c>
    </row>
    <row r="1634" spans="1:11" s="4" customFormat="1" ht="20.399999999999999" x14ac:dyDescent="0.2">
      <c r="A1634" s="6" t="str">
        <f>"0009900028"</f>
        <v>0009900028</v>
      </c>
      <c r="B1634" s="6" t="str">
        <f>"535704"</f>
        <v>535704</v>
      </c>
      <c r="C1634" s="6" t="s">
        <v>755</v>
      </c>
      <c r="D1634" s="6" t="s">
        <v>751</v>
      </c>
      <c r="E1634" s="6" t="s">
        <v>13</v>
      </c>
      <c r="F1634" s="6" t="s">
        <v>752</v>
      </c>
      <c r="G1634" s="6" t="s">
        <v>731</v>
      </c>
      <c r="H1634" s="6" t="s">
        <v>732</v>
      </c>
      <c r="I1634" s="6" t="s">
        <v>409</v>
      </c>
      <c r="J1634" s="6" t="s">
        <v>20</v>
      </c>
      <c r="K1634" s="7">
        <v>19.96</v>
      </c>
    </row>
    <row r="1635" spans="1:11" s="4" customFormat="1" ht="20.399999999999999" x14ac:dyDescent="0.2">
      <c r="A1635" s="6" t="str">
        <f>"0009900028"</f>
        <v>0009900028</v>
      </c>
      <c r="B1635" s="6" t="str">
        <f>"598093"</f>
        <v>598093</v>
      </c>
      <c r="C1635" s="6" t="s">
        <v>756</v>
      </c>
      <c r="D1635" s="6" t="s">
        <v>751</v>
      </c>
      <c r="E1635" s="6" t="s">
        <v>13</v>
      </c>
      <c r="F1635" s="6" t="s">
        <v>752</v>
      </c>
      <c r="G1635" s="6" t="s">
        <v>731</v>
      </c>
      <c r="H1635" s="6" t="s">
        <v>732</v>
      </c>
      <c r="I1635" s="6" t="s">
        <v>19</v>
      </c>
      <c r="J1635" s="6" t="s">
        <v>20</v>
      </c>
      <c r="K1635" s="7">
        <v>19.96</v>
      </c>
    </row>
    <row r="1636" spans="1:11" s="4" customFormat="1" ht="10.199999999999999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7"/>
    </row>
    <row r="1637" spans="1:11" s="4" customFormat="1" ht="10.199999999999999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7"/>
    </row>
    <row r="1638" spans="1:11" s="4" customFormat="1" ht="10.199999999999999" x14ac:dyDescent="0.2">
      <c r="A1638" s="6" t="str">
        <f>"0015740100"</f>
        <v>0015740100</v>
      </c>
      <c r="B1638" s="6" t="str">
        <f>"044442"</f>
        <v>044442</v>
      </c>
      <c r="C1638" s="6" t="s">
        <v>757</v>
      </c>
      <c r="D1638" s="6" t="s">
        <v>174</v>
      </c>
      <c r="E1638" s="6" t="s">
        <v>82</v>
      </c>
      <c r="F1638" s="6">
        <v>100</v>
      </c>
      <c r="G1638" s="6" t="s">
        <v>758</v>
      </c>
      <c r="H1638" s="6" t="s">
        <v>759</v>
      </c>
      <c r="I1638" s="6" t="s">
        <v>169</v>
      </c>
      <c r="J1638" s="6" t="s">
        <v>17</v>
      </c>
      <c r="K1638" s="7">
        <v>25.55</v>
      </c>
    </row>
    <row r="1639" spans="1:11" s="4" customFormat="1" ht="10.199999999999999" x14ac:dyDescent="0.2">
      <c r="A1639" s="6" t="str">
        <f>"0015740100"</f>
        <v>0015740100</v>
      </c>
      <c r="B1639" s="6" t="str">
        <f>"506176"</f>
        <v>506176</v>
      </c>
      <c r="C1639" s="6" t="s">
        <v>760</v>
      </c>
      <c r="D1639" s="6" t="s">
        <v>174</v>
      </c>
      <c r="E1639" s="6" t="s">
        <v>82</v>
      </c>
      <c r="F1639" s="6">
        <v>100</v>
      </c>
      <c r="G1639" s="6" t="s">
        <v>758</v>
      </c>
      <c r="H1639" s="6" t="s">
        <v>759</v>
      </c>
      <c r="I1639" s="6" t="s">
        <v>761</v>
      </c>
      <c r="J1639" s="6" t="s">
        <v>20</v>
      </c>
      <c r="K1639" s="7">
        <v>15.33</v>
      </c>
    </row>
    <row r="1640" spans="1:11" s="4" customFormat="1" ht="10.199999999999999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7"/>
    </row>
    <row r="1641" spans="1:11" s="4" customFormat="1" ht="10.199999999999999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7"/>
    </row>
    <row r="1642" spans="1:11" s="4" customFormat="1" ht="10.199999999999999" x14ac:dyDescent="0.2">
      <c r="A1642" s="6" t="str">
        <f>"0004100100"</f>
        <v>0004100100</v>
      </c>
      <c r="B1642" s="6" t="str">
        <f>"038877"</f>
        <v>038877</v>
      </c>
      <c r="C1642" s="6" t="s">
        <v>762</v>
      </c>
      <c r="D1642" s="6" t="s">
        <v>71</v>
      </c>
      <c r="E1642" s="6" t="s">
        <v>82</v>
      </c>
      <c r="F1642" s="6">
        <v>100</v>
      </c>
      <c r="G1642" s="6" t="s">
        <v>763</v>
      </c>
      <c r="H1642" s="6" t="s">
        <v>764</v>
      </c>
      <c r="I1642" s="6" t="s">
        <v>765</v>
      </c>
      <c r="J1642" s="6" t="s">
        <v>17</v>
      </c>
      <c r="K1642" s="7">
        <v>12.79</v>
      </c>
    </row>
    <row r="1643" spans="1:11" s="4" customFormat="1" ht="10.199999999999999" x14ac:dyDescent="0.2">
      <c r="A1643" s="6" t="str">
        <f>"0004100100"</f>
        <v>0004100100</v>
      </c>
      <c r="B1643" s="6" t="str">
        <f>"090579"</f>
        <v>090579</v>
      </c>
      <c r="C1643" s="6" t="s">
        <v>766</v>
      </c>
      <c r="D1643" s="6" t="s">
        <v>71</v>
      </c>
      <c r="E1643" s="6" t="s">
        <v>82</v>
      </c>
      <c r="F1643" s="6">
        <v>100</v>
      </c>
      <c r="G1643" s="6" t="s">
        <v>763</v>
      </c>
      <c r="H1643" s="6" t="s">
        <v>764</v>
      </c>
      <c r="I1643" s="6" t="s">
        <v>114</v>
      </c>
      <c r="J1643" s="6" t="s">
        <v>20</v>
      </c>
      <c r="K1643" s="7">
        <v>10.45</v>
      </c>
    </row>
    <row r="1644" spans="1:11" s="4" customFormat="1" ht="10.199999999999999" x14ac:dyDescent="0.2">
      <c r="A1644" s="6" t="str">
        <f>"0004100100"</f>
        <v>0004100100</v>
      </c>
      <c r="B1644" s="6" t="str">
        <f>"444574"</f>
        <v>444574</v>
      </c>
      <c r="C1644" s="6" t="s">
        <v>767</v>
      </c>
      <c r="D1644" s="6" t="s">
        <v>71</v>
      </c>
      <c r="E1644" s="6" t="s">
        <v>82</v>
      </c>
      <c r="F1644" s="6">
        <v>100</v>
      </c>
      <c r="G1644" s="6" t="s">
        <v>763</v>
      </c>
      <c r="H1644" s="6" t="s">
        <v>764</v>
      </c>
      <c r="I1644" s="6" t="s">
        <v>209</v>
      </c>
      <c r="J1644" s="6" t="s">
        <v>20</v>
      </c>
      <c r="K1644" s="7">
        <v>10.45</v>
      </c>
    </row>
    <row r="1645" spans="1:11" s="4" customFormat="1" ht="20.399999999999999" x14ac:dyDescent="0.2">
      <c r="A1645" s="6" t="str">
        <f>"0004100100"</f>
        <v>0004100100</v>
      </c>
      <c r="B1645" s="6" t="str">
        <f>"456843"</f>
        <v>456843</v>
      </c>
      <c r="C1645" s="6" t="s">
        <v>768</v>
      </c>
      <c r="D1645" s="6" t="s">
        <v>71</v>
      </c>
      <c r="E1645" s="6" t="s">
        <v>82</v>
      </c>
      <c r="F1645" s="6">
        <v>100</v>
      </c>
      <c r="G1645" s="6" t="s">
        <v>763</v>
      </c>
      <c r="H1645" s="6" t="s">
        <v>764</v>
      </c>
      <c r="I1645" s="6" t="s">
        <v>114</v>
      </c>
      <c r="J1645" s="6" t="s">
        <v>20</v>
      </c>
      <c r="K1645" s="7">
        <v>10.45</v>
      </c>
    </row>
    <row r="1646" spans="1:11" s="4" customFormat="1" ht="10.199999999999999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7"/>
    </row>
    <row r="1647" spans="1:11" s="4" customFormat="1" ht="10.199999999999999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7"/>
    </row>
    <row r="1648" spans="1:11" s="4" customFormat="1" ht="20.399999999999999" x14ac:dyDescent="0.2">
      <c r="A1648" s="6" t="str">
        <f>"0013820140"</f>
        <v>0013820140</v>
      </c>
      <c r="B1648" s="6" t="str">
        <f>"474551"</f>
        <v>474551</v>
      </c>
      <c r="C1648" s="6" t="s">
        <v>769</v>
      </c>
      <c r="D1648" s="6" t="s">
        <v>770</v>
      </c>
      <c r="E1648" s="6" t="s">
        <v>771</v>
      </c>
      <c r="F1648" s="6" t="s">
        <v>772</v>
      </c>
      <c r="G1648" s="6" t="s">
        <v>349</v>
      </c>
      <c r="H1648" s="6" t="s">
        <v>773</v>
      </c>
      <c r="I1648" s="6" t="s">
        <v>207</v>
      </c>
      <c r="J1648" s="6" t="s">
        <v>17</v>
      </c>
      <c r="K1648" s="7">
        <v>11.01</v>
      </c>
    </row>
    <row r="1649" spans="1:11" s="4" customFormat="1" ht="20.399999999999999" x14ac:dyDescent="0.2">
      <c r="A1649" s="6" t="str">
        <f>"0013820140"</f>
        <v>0013820140</v>
      </c>
      <c r="B1649" s="6" t="str">
        <f>"071901"</f>
        <v>071901</v>
      </c>
      <c r="C1649" s="6" t="s">
        <v>774</v>
      </c>
      <c r="D1649" s="6" t="s">
        <v>770</v>
      </c>
      <c r="E1649" s="6" t="s">
        <v>771</v>
      </c>
      <c r="F1649" s="6" t="s">
        <v>772</v>
      </c>
      <c r="G1649" s="6" t="s">
        <v>349</v>
      </c>
      <c r="H1649" s="6" t="s">
        <v>773</v>
      </c>
      <c r="I1649" s="6" t="s">
        <v>35</v>
      </c>
      <c r="J1649" s="6" t="s">
        <v>20</v>
      </c>
      <c r="K1649" s="7">
        <v>6.61</v>
      </c>
    </row>
    <row r="1650" spans="1:11" s="4" customFormat="1" ht="20.399999999999999" x14ac:dyDescent="0.2">
      <c r="A1650" s="6" t="str">
        <f>"0013820140"</f>
        <v>0013820140</v>
      </c>
      <c r="B1650" s="6" t="str">
        <f>"175464"</f>
        <v>175464</v>
      </c>
      <c r="C1650" s="6" t="s">
        <v>775</v>
      </c>
      <c r="D1650" s="6" t="s">
        <v>770</v>
      </c>
      <c r="E1650" s="6" t="s">
        <v>771</v>
      </c>
      <c r="F1650" s="6" t="s">
        <v>772</v>
      </c>
      <c r="G1650" s="6" t="s">
        <v>349</v>
      </c>
      <c r="H1650" s="6" t="s">
        <v>773</v>
      </c>
      <c r="I1650" s="6" t="s">
        <v>37</v>
      </c>
      <c r="J1650" s="6" t="s">
        <v>20</v>
      </c>
      <c r="K1650" s="7">
        <v>6.61</v>
      </c>
    </row>
    <row r="1651" spans="1:11" s="4" customFormat="1" ht="20.399999999999999" x14ac:dyDescent="0.2">
      <c r="A1651" s="6" t="str">
        <f>"0013820140"</f>
        <v>0013820140</v>
      </c>
      <c r="B1651" s="6" t="str">
        <f>"407360"</f>
        <v>407360</v>
      </c>
      <c r="C1651" s="6" t="s">
        <v>776</v>
      </c>
      <c r="D1651" s="6" t="s">
        <v>770</v>
      </c>
      <c r="E1651" s="6" t="s">
        <v>771</v>
      </c>
      <c r="F1651" s="6" t="s">
        <v>772</v>
      </c>
      <c r="G1651" s="6" t="s">
        <v>349</v>
      </c>
      <c r="H1651" s="6" t="s">
        <v>773</v>
      </c>
      <c r="I1651" s="6" t="s">
        <v>211</v>
      </c>
      <c r="J1651" s="6" t="s">
        <v>20</v>
      </c>
      <c r="K1651" s="7">
        <v>6.61</v>
      </c>
    </row>
    <row r="1652" spans="1:11" s="4" customFormat="1" ht="20.399999999999999" x14ac:dyDescent="0.2">
      <c r="A1652" s="6" t="str">
        <f>"0013820140"</f>
        <v>0013820140</v>
      </c>
      <c r="B1652" s="6" t="str">
        <f>"093665"</f>
        <v>093665</v>
      </c>
      <c r="C1652" s="6" t="s">
        <v>777</v>
      </c>
      <c r="D1652" s="6" t="s">
        <v>770</v>
      </c>
      <c r="E1652" s="6" t="s">
        <v>771</v>
      </c>
      <c r="F1652" s="6" t="s">
        <v>772</v>
      </c>
      <c r="G1652" s="6" t="s">
        <v>349</v>
      </c>
      <c r="H1652" s="6" t="s">
        <v>773</v>
      </c>
      <c r="I1652" s="6" t="s">
        <v>778</v>
      </c>
      <c r="J1652" s="6" t="s">
        <v>20</v>
      </c>
      <c r="K1652" s="7">
        <v>6.6</v>
      </c>
    </row>
    <row r="1653" spans="1:11" s="4" customFormat="1" ht="10.199999999999999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7"/>
    </row>
    <row r="1654" spans="1:11" s="4" customFormat="1" ht="10.199999999999999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7"/>
    </row>
    <row r="1655" spans="1:11" s="4" customFormat="1" ht="20.399999999999999" x14ac:dyDescent="0.2">
      <c r="A1655" s="6" t="str">
        <f>"0013820420"</f>
        <v>0013820420</v>
      </c>
      <c r="B1655" s="6" t="str">
        <f>"474643"</f>
        <v>474643</v>
      </c>
      <c r="C1655" s="6" t="s">
        <v>769</v>
      </c>
      <c r="D1655" s="6" t="s">
        <v>770</v>
      </c>
      <c r="E1655" s="6" t="s">
        <v>771</v>
      </c>
      <c r="F1655" s="6" t="s">
        <v>779</v>
      </c>
      <c r="G1655" s="6" t="s">
        <v>349</v>
      </c>
      <c r="H1655" s="6" t="s">
        <v>773</v>
      </c>
      <c r="I1655" s="6" t="s">
        <v>207</v>
      </c>
      <c r="J1655" s="6" t="s">
        <v>17</v>
      </c>
      <c r="K1655" s="7">
        <v>31.87</v>
      </c>
    </row>
    <row r="1656" spans="1:11" s="4" customFormat="1" ht="20.399999999999999" x14ac:dyDescent="0.2">
      <c r="A1656" s="6" t="str">
        <f>"0013820420"</f>
        <v>0013820420</v>
      </c>
      <c r="B1656" s="6" t="str">
        <f>"189638"</f>
        <v>189638</v>
      </c>
      <c r="C1656" s="6" t="s">
        <v>775</v>
      </c>
      <c r="D1656" s="6" t="s">
        <v>770</v>
      </c>
      <c r="E1656" s="6" t="s">
        <v>771</v>
      </c>
      <c r="F1656" s="6" t="s">
        <v>779</v>
      </c>
      <c r="G1656" s="6" t="s">
        <v>349</v>
      </c>
      <c r="H1656" s="6" t="s">
        <v>773</v>
      </c>
      <c r="I1656" s="6" t="s">
        <v>37</v>
      </c>
      <c r="J1656" s="6" t="s">
        <v>20</v>
      </c>
      <c r="K1656" s="7">
        <v>19.12</v>
      </c>
    </row>
    <row r="1657" spans="1:11" s="4" customFormat="1" ht="20.399999999999999" x14ac:dyDescent="0.2">
      <c r="A1657" s="6" t="str">
        <f>"0013820420"</f>
        <v>0013820420</v>
      </c>
      <c r="B1657" s="6" t="str">
        <f>"439303"</f>
        <v>439303</v>
      </c>
      <c r="C1657" s="6" t="s">
        <v>776</v>
      </c>
      <c r="D1657" s="6" t="s">
        <v>770</v>
      </c>
      <c r="E1657" s="6" t="s">
        <v>771</v>
      </c>
      <c r="F1657" s="6" t="s">
        <v>779</v>
      </c>
      <c r="G1657" s="6" t="s">
        <v>349</v>
      </c>
      <c r="H1657" s="6" t="s">
        <v>773</v>
      </c>
      <c r="I1657" s="6" t="s">
        <v>211</v>
      </c>
      <c r="J1657" s="6" t="s">
        <v>20</v>
      </c>
      <c r="K1657" s="7">
        <v>19.12</v>
      </c>
    </row>
    <row r="1658" spans="1:11" s="4" customFormat="1" ht="10.199999999999999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7"/>
    </row>
    <row r="1659" spans="1:11" s="4" customFormat="1" ht="10.199999999999999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7"/>
    </row>
    <row r="1660" spans="1:11" s="4" customFormat="1" ht="10.199999999999999" x14ac:dyDescent="0.2">
      <c r="A1660" s="6" t="str">
        <f>"0013070040"</f>
        <v>0013070040</v>
      </c>
      <c r="B1660" s="6" t="str">
        <f>"501502"</f>
        <v>501502</v>
      </c>
      <c r="C1660" s="6" t="s">
        <v>780</v>
      </c>
      <c r="D1660" s="6" t="s">
        <v>781</v>
      </c>
      <c r="E1660" s="6" t="s">
        <v>782</v>
      </c>
      <c r="F1660" s="6" t="s">
        <v>783</v>
      </c>
      <c r="G1660" s="6" t="s">
        <v>784</v>
      </c>
      <c r="H1660" s="6" t="s">
        <v>785</v>
      </c>
      <c r="I1660" s="6" t="s">
        <v>49</v>
      </c>
      <c r="J1660" s="6" t="s">
        <v>17</v>
      </c>
      <c r="K1660" s="7">
        <v>21.89</v>
      </c>
    </row>
    <row r="1661" spans="1:11" s="4" customFormat="1" ht="10.199999999999999" x14ac:dyDescent="0.2">
      <c r="A1661" s="6" t="str">
        <f>"0013070040"</f>
        <v>0013070040</v>
      </c>
      <c r="B1661" s="6" t="str">
        <f>"581959"</f>
        <v>581959</v>
      </c>
      <c r="C1661" s="6" t="s">
        <v>786</v>
      </c>
      <c r="D1661" s="6" t="s">
        <v>781</v>
      </c>
      <c r="E1661" s="6" t="s">
        <v>782</v>
      </c>
      <c r="F1661" s="6" t="s">
        <v>783</v>
      </c>
      <c r="G1661" s="6" t="s">
        <v>784</v>
      </c>
      <c r="H1661" s="6" t="s">
        <v>785</v>
      </c>
      <c r="I1661" s="6" t="s">
        <v>274</v>
      </c>
      <c r="J1661" s="6" t="s">
        <v>20</v>
      </c>
      <c r="K1661" s="7">
        <v>13.13</v>
      </c>
    </row>
    <row r="1662" spans="1:11" s="4" customFormat="1" ht="10.199999999999999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7"/>
    </row>
    <row r="1663" spans="1:11" s="4" customFormat="1" ht="10.199999999999999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7"/>
    </row>
    <row r="1664" spans="1:11" s="4" customFormat="1" ht="10.199999999999999" x14ac:dyDescent="0.2">
      <c r="A1664" s="6" t="str">
        <f>"0014920040"</f>
        <v>0014920040</v>
      </c>
      <c r="B1664" s="6" t="str">
        <f>"501528"</f>
        <v>501528</v>
      </c>
      <c r="C1664" s="6" t="s">
        <v>780</v>
      </c>
      <c r="D1664" s="6" t="s">
        <v>787</v>
      </c>
      <c r="E1664" s="6" t="s">
        <v>782</v>
      </c>
      <c r="F1664" s="6" t="s">
        <v>783</v>
      </c>
      <c r="G1664" s="6" t="s">
        <v>784</v>
      </c>
      <c r="H1664" s="6" t="s">
        <v>785</v>
      </c>
      <c r="I1664" s="6" t="s">
        <v>49</v>
      </c>
      <c r="J1664" s="6" t="s">
        <v>17</v>
      </c>
      <c r="K1664" s="7">
        <v>24.95</v>
      </c>
    </row>
    <row r="1665" spans="1:11" s="4" customFormat="1" ht="10.199999999999999" x14ac:dyDescent="0.2">
      <c r="A1665" s="6" t="str">
        <f>"0014920040"</f>
        <v>0014920040</v>
      </c>
      <c r="B1665" s="6" t="str">
        <f>"095767"</f>
        <v>095767</v>
      </c>
      <c r="C1665" s="6" t="s">
        <v>786</v>
      </c>
      <c r="D1665" s="6" t="s">
        <v>787</v>
      </c>
      <c r="E1665" s="6" t="s">
        <v>782</v>
      </c>
      <c r="F1665" s="6" t="s">
        <v>783</v>
      </c>
      <c r="G1665" s="6" t="s">
        <v>784</v>
      </c>
      <c r="H1665" s="6" t="s">
        <v>785</v>
      </c>
      <c r="I1665" s="6" t="s">
        <v>648</v>
      </c>
      <c r="J1665" s="6" t="s">
        <v>20</v>
      </c>
      <c r="K1665" s="7">
        <v>14.97</v>
      </c>
    </row>
    <row r="1666" spans="1:11" s="4" customFormat="1" ht="10.199999999999999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7"/>
    </row>
    <row r="1667" spans="1:11" s="4" customFormat="1" ht="10.199999999999999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7"/>
    </row>
    <row r="1668" spans="1:11" s="4" customFormat="1" ht="20.399999999999999" x14ac:dyDescent="0.2">
      <c r="A1668" s="6" t="str">
        <f>"0009830120"</f>
        <v>0009830120</v>
      </c>
      <c r="B1668" s="6" t="str">
        <f>"129817"</f>
        <v>129817</v>
      </c>
      <c r="C1668" s="6" t="s">
        <v>788</v>
      </c>
      <c r="D1668" s="6" t="s">
        <v>781</v>
      </c>
      <c r="E1668" s="6" t="s">
        <v>789</v>
      </c>
      <c r="F1668" s="6" t="s">
        <v>790</v>
      </c>
      <c r="G1668" s="6" t="s">
        <v>791</v>
      </c>
      <c r="H1668" s="6" t="s">
        <v>792</v>
      </c>
      <c r="I1668" s="6" t="s">
        <v>121</v>
      </c>
      <c r="J1668" s="6" t="s">
        <v>17</v>
      </c>
      <c r="K1668" s="7">
        <v>30.36</v>
      </c>
    </row>
    <row r="1669" spans="1:11" s="4" customFormat="1" ht="20.399999999999999" x14ac:dyDescent="0.2">
      <c r="A1669" s="6" t="str">
        <f>"0009830120"</f>
        <v>0009830120</v>
      </c>
      <c r="B1669" s="6" t="str">
        <f>"168364"</f>
        <v>168364</v>
      </c>
      <c r="C1669" s="6" t="s">
        <v>793</v>
      </c>
      <c r="D1669" s="6" t="s">
        <v>794</v>
      </c>
      <c r="E1669" s="6" t="s">
        <v>789</v>
      </c>
      <c r="F1669" s="6" t="s">
        <v>790</v>
      </c>
      <c r="G1669" s="6" t="s">
        <v>791</v>
      </c>
      <c r="H1669" s="6" t="s">
        <v>792</v>
      </c>
      <c r="I1669" s="6" t="s">
        <v>274</v>
      </c>
      <c r="J1669" s="6" t="s">
        <v>20</v>
      </c>
      <c r="K1669" s="7">
        <v>18.22</v>
      </c>
    </row>
    <row r="1670" spans="1:11" s="4" customFormat="1" ht="10.199999999999999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7"/>
    </row>
    <row r="1671" spans="1:11" s="4" customFormat="1" ht="10.199999999999999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7"/>
    </row>
    <row r="1672" spans="1:11" s="4" customFormat="1" ht="10.199999999999999" x14ac:dyDescent="0.2">
      <c r="A1672" s="6" t="str">
        <f t="shared" ref="A1672:A1679" si="60">"0008480030"</f>
        <v>0008480030</v>
      </c>
      <c r="B1672" s="6" t="str">
        <f>"002294"</f>
        <v>002294</v>
      </c>
      <c r="C1672" s="6" t="s">
        <v>795</v>
      </c>
      <c r="D1672" s="6" t="s">
        <v>59</v>
      </c>
      <c r="E1672" s="6" t="s">
        <v>399</v>
      </c>
      <c r="F1672" s="6">
        <v>28</v>
      </c>
      <c r="G1672" s="6" t="s">
        <v>796</v>
      </c>
      <c r="H1672" s="6" t="s">
        <v>797</v>
      </c>
      <c r="I1672" s="6" t="s">
        <v>207</v>
      </c>
      <c r="J1672" s="6" t="s">
        <v>17</v>
      </c>
      <c r="K1672" s="7">
        <v>29.49</v>
      </c>
    </row>
    <row r="1673" spans="1:11" s="4" customFormat="1" ht="10.199999999999999" x14ac:dyDescent="0.2">
      <c r="A1673" s="6" t="str">
        <f t="shared" si="60"/>
        <v>0008480030</v>
      </c>
      <c r="B1673" s="6" t="str">
        <f>"040102"</f>
        <v>040102</v>
      </c>
      <c r="C1673" s="6" t="s">
        <v>798</v>
      </c>
      <c r="D1673" s="6" t="s">
        <v>59</v>
      </c>
      <c r="E1673" s="6" t="s">
        <v>399</v>
      </c>
      <c r="F1673" s="6">
        <v>30</v>
      </c>
      <c r="G1673" s="6" t="s">
        <v>796</v>
      </c>
      <c r="H1673" s="6" t="s">
        <v>797</v>
      </c>
      <c r="I1673" s="6" t="s">
        <v>28</v>
      </c>
      <c r="J1673" s="6" t="s">
        <v>20</v>
      </c>
      <c r="K1673" s="7">
        <v>18.96</v>
      </c>
    </row>
    <row r="1674" spans="1:11" s="4" customFormat="1" ht="10.199999999999999" x14ac:dyDescent="0.2">
      <c r="A1674" s="6" t="str">
        <f t="shared" si="60"/>
        <v>0008480030</v>
      </c>
      <c r="B1674" s="6" t="str">
        <f>"162488"</f>
        <v>162488</v>
      </c>
      <c r="C1674" s="6" t="s">
        <v>799</v>
      </c>
      <c r="D1674" s="6" t="s">
        <v>59</v>
      </c>
      <c r="E1674" s="6" t="s">
        <v>399</v>
      </c>
      <c r="F1674" s="6">
        <v>30</v>
      </c>
      <c r="G1674" s="6" t="s">
        <v>796</v>
      </c>
      <c r="H1674" s="6" t="s">
        <v>797</v>
      </c>
      <c r="I1674" s="6" t="s">
        <v>37</v>
      </c>
      <c r="J1674" s="6" t="s">
        <v>20</v>
      </c>
      <c r="K1674" s="7">
        <v>18.96</v>
      </c>
    </row>
    <row r="1675" spans="1:11" s="4" customFormat="1" ht="10.199999999999999" x14ac:dyDescent="0.2">
      <c r="A1675" s="6" t="str">
        <f t="shared" si="60"/>
        <v>0008480030</v>
      </c>
      <c r="B1675" s="6" t="str">
        <f>"509958"</f>
        <v>509958</v>
      </c>
      <c r="C1675" s="6" t="s">
        <v>800</v>
      </c>
      <c r="D1675" s="6" t="s">
        <v>59</v>
      </c>
      <c r="E1675" s="6" t="s">
        <v>399</v>
      </c>
      <c r="F1675" s="6">
        <v>30</v>
      </c>
      <c r="G1675" s="6" t="s">
        <v>796</v>
      </c>
      <c r="H1675" s="6" t="s">
        <v>797</v>
      </c>
      <c r="I1675" s="6" t="s">
        <v>35</v>
      </c>
      <c r="J1675" s="6" t="s">
        <v>20</v>
      </c>
      <c r="K1675" s="7">
        <v>18.96</v>
      </c>
    </row>
    <row r="1676" spans="1:11" s="4" customFormat="1" ht="10.199999999999999" x14ac:dyDescent="0.2">
      <c r="A1676" s="6" t="str">
        <f t="shared" si="60"/>
        <v>0008480030</v>
      </c>
      <c r="B1676" s="6" t="str">
        <f>"040729"</f>
        <v>040729</v>
      </c>
      <c r="C1676" s="6" t="s">
        <v>801</v>
      </c>
      <c r="D1676" s="6" t="s">
        <v>59</v>
      </c>
      <c r="E1676" s="6" t="s">
        <v>399</v>
      </c>
      <c r="F1676" s="6">
        <v>28</v>
      </c>
      <c r="G1676" s="6" t="s">
        <v>796</v>
      </c>
      <c r="H1676" s="6" t="s">
        <v>797</v>
      </c>
      <c r="I1676" s="6" t="s">
        <v>409</v>
      </c>
      <c r="J1676" s="6" t="s">
        <v>20</v>
      </c>
      <c r="K1676" s="7">
        <v>17.690000000000001</v>
      </c>
    </row>
    <row r="1677" spans="1:11" s="4" customFormat="1" ht="10.199999999999999" x14ac:dyDescent="0.2">
      <c r="A1677" s="6" t="str">
        <f t="shared" si="60"/>
        <v>0008480030</v>
      </c>
      <c r="B1677" s="6" t="str">
        <f>"059672"</f>
        <v>059672</v>
      </c>
      <c r="C1677" s="6" t="s">
        <v>802</v>
      </c>
      <c r="D1677" s="6" t="s">
        <v>59</v>
      </c>
      <c r="E1677" s="6" t="s">
        <v>399</v>
      </c>
      <c r="F1677" s="6">
        <v>28</v>
      </c>
      <c r="G1677" s="6" t="s">
        <v>796</v>
      </c>
      <c r="H1677" s="6" t="s">
        <v>797</v>
      </c>
      <c r="I1677" s="6" t="s">
        <v>211</v>
      </c>
      <c r="J1677" s="6" t="s">
        <v>20</v>
      </c>
      <c r="K1677" s="7">
        <v>17.690000000000001</v>
      </c>
    </row>
    <row r="1678" spans="1:11" s="4" customFormat="1" ht="10.199999999999999" x14ac:dyDescent="0.2">
      <c r="A1678" s="6" t="str">
        <f t="shared" si="60"/>
        <v>0008480030</v>
      </c>
      <c r="B1678" s="6" t="str">
        <f>"115433"</f>
        <v>115433</v>
      </c>
      <c r="C1678" s="6" t="s">
        <v>803</v>
      </c>
      <c r="D1678" s="6" t="s">
        <v>59</v>
      </c>
      <c r="E1678" s="6" t="s">
        <v>399</v>
      </c>
      <c r="F1678" s="6">
        <v>28</v>
      </c>
      <c r="G1678" s="6" t="s">
        <v>796</v>
      </c>
      <c r="H1678" s="6" t="s">
        <v>797</v>
      </c>
      <c r="I1678" s="6" t="s">
        <v>90</v>
      </c>
      <c r="J1678" s="6" t="s">
        <v>20</v>
      </c>
      <c r="K1678" s="7">
        <v>17.690000000000001</v>
      </c>
    </row>
    <row r="1679" spans="1:11" s="4" customFormat="1" ht="10.199999999999999" x14ac:dyDescent="0.2">
      <c r="A1679" s="6" t="str">
        <f t="shared" si="60"/>
        <v>0008480030</v>
      </c>
      <c r="B1679" s="6" t="str">
        <f>"415035"</f>
        <v>415035</v>
      </c>
      <c r="C1679" s="6" t="s">
        <v>804</v>
      </c>
      <c r="D1679" s="6" t="s">
        <v>59</v>
      </c>
      <c r="E1679" s="6" t="s">
        <v>399</v>
      </c>
      <c r="F1679" s="6">
        <v>28</v>
      </c>
      <c r="G1679" s="6" t="s">
        <v>796</v>
      </c>
      <c r="H1679" s="6" t="s">
        <v>797</v>
      </c>
      <c r="I1679" s="6" t="s">
        <v>274</v>
      </c>
      <c r="J1679" s="6" t="s">
        <v>20</v>
      </c>
      <c r="K1679" s="7">
        <v>17.690000000000001</v>
      </c>
    </row>
    <row r="1680" spans="1:11" s="4" customFormat="1" ht="10.199999999999999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7"/>
    </row>
    <row r="1681" spans="1:11" s="4" customFormat="1" ht="10.199999999999999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7"/>
    </row>
    <row r="1682" spans="1:11" s="4" customFormat="1" ht="10.199999999999999" x14ac:dyDescent="0.2">
      <c r="A1682" s="6" t="str">
        <f t="shared" ref="A1682:A1689" si="61">"0008480100"</f>
        <v>0008480100</v>
      </c>
      <c r="B1682" s="6" t="str">
        <f>"002328"</f>
        <v>002328</v>
      </c>
      <c r="C1682" s="6" t="s">
        <v>795</v>
      </c>
      <c r="D1682" s="6" t="s">
        <v>59</v>
      </c>
      <c r="E1682" s="6" t="s">
        <v>399</v>
      </c>
      <c r="F1682" s="6">
        <v>98</v>
      </c>
      <c r="G1682" s="6" t="s">
        <v>796</v>
      </c>
      <c r="H1682" s="6" t="s">
        <v>797</v>
      </c>
      <c r="I1682" s="6" t="s">
        <v>207</v>
      </c>
      <c r="J1682" s="6" t="s">
        <v>17</v>
      </c>
      <c r="K1682" s="7">
        <v>103.19</v>
      </c>
    </row>
    <row r="1683" spans="1:11" s="4" customFormat="1" ht="10.199999999999999" x14ac:dyDescent="0.2">
      <c r="A1683" s="6" t="str">
        <f t="shared" si="61"/>
        <v>0008480100</v>
      </c>
      <c r="B1683" s="6" t="str">
        <f>"034567"</f>
        <v>034567</v>
      </c>
      <c r="C1683" s="6" t="s">
        <v>799</v>
      </c>
      <c r="D1683" s="6" t="s">
        <v>59</v>
      </c>
      <c r="E1683" s="6" t="s">
        <v>399</v>
      </c>
      <c r="F1683" s="6">
        <v>100</v>
      </c>
      <c r="G1683" s="6" t="s">
        <v>796</v>
      </c>
      <c r="H1683" s="6" t="s">
        <v>797</v>
      </c>
      <c r="I1683" s="6" t="s">
        <v>37</v>
      </c>
      <c r="J1683" s="6" t="s">
        <v>20</v>
      </c>
      <c r="K1683" s="7">
        <v>63.18</v>
      </c>
    </row>
    <row r="1684" spans="1:11" s="4" customFormat="1" ht="10.199999999999999" x14ac:dyDescent="0.2">
      <c r="A1684" s="6" t="str">
        <f t="shared" si="61"/>
        <v>0008480100</v>
      </c>
      <c r="B1684" s="6" t="str">
        <f>"040115"</f>
        <v>040115</v>
      </c>
      <c r="C1684" s="6" t="s">
        <v>798</v>
      </c>
      <c r="D1684" s="6" t="s">
        <v>59</v>
      </c>
      <c r="E1684" s="6" t="s">
        <v>399</v>
      </c>
      <c r="F1684" s="6">
        <v>100</v>
      </c>
      <c r="G1684" s="6" t="s">
        <v>796</v>
      </c>
      <c r="H1684" s="6" t="s">
        <v>797</v>
      </c>
      <c r="I1684" s="6" t="s">
        <v>28</v>
      </c>
      <c r="J1684" s="6" t="s">
        <v>20</v>
      </c>
      <c r="K1684" s="7">
        <v>63.18</v>
      </c>
    </row>
    <row r="1685" spans="1:11" s="4" customFormat="1" ht="10.199999999999999" x14ac:dyDescent="0.2">
      <c r="A1685" s="6" t="str">
        <f t="shared" si="61"/>
        <v>0008480100</v>
      </c>
      <c r="B1685" s="6" t="str">
        <f>"597607"</f>
        <v>597607</v>
      </c>
      <c r="C1685" s="6" t="s">
        <v>800</v>
      </c>
      <c r="D1685" s="6" t="s">
        <v>59</v>
      </c>
      <c r="E1685" s="6" t="s">
        <v>399</v>
      </c>
      <c r="F1685" s="6">
        <v>100</v>
      </c>
      <c r="G1685" s="6" t="s">
        <v>796</v>
      </c>
      <c r="H1685" s="6" t="s">
        <v>797</v>
      </c>
      <c r="I1685" s="6" t="s">
        <v>35</v>
      </c>
      <c r="J1685" s="6" t="s">
        <v>20</v>
      </c>
      <c r="K1685" s="7">
        <v>63.18</v>
      </c>
    </row>
    <row r="1686" spans="1:11" s="4" customFormat="1" ht="10.199999999999999" x14ac:dyDescent="0.2">
      <c r="A1686" s="6" t="str">
        <f t="shared" si="61"/>
        <v>0008480100</v>
      </c>
      <c r="B1686" s="6" t="str">
        <f>"040740"</f>
        <v>040740</v>
      </c>
      <c r="C1686" s="6" t="s">
        <v>801</v>
      </c>
      <c r="D1686" s="6" t="s">
        <v>59</v>
      </c>
      <c r="E1686" s="6" t="s">
        <v>399</v>
      </c>
      <c r="F1686" s="6">
        <v>98</v>
      </c>
      <c r="G1686" s="6" t="s">
        <v>796</v>
      </c>
      <c r="H1686" s="6" t="s">
        <v>797</v>
      </c>
      <c r="I1686" s="6" t="s">
        <v>409</v>
      </c>
      <c r="J1686" s="6" t="s">
        <v>20</v>
      </c>
      <c r="K1686" s="7">
        <v>61.91</v>
      </c>
    </row>
    <row r="1687" spans="1:11" s="4" customFormat="1" ht="10.199999999999999" x14ac:dyDescent="0.2">
      <c r="A1687" s="6" t="str">
        <f t="shared" si="61"/>
        <v>0008480100</v>
      </c>
      <c r="B1687" s="6" t="str">
        <f>"066482"</f>
        <v>066482</v>
      </c>
      <c r="C1687" s="6" t="s">
        <v>803</v>
      </c>
      <c r="D1687" s="6" t="s">
        <v>59</v>
      </c>
      <c r="E1687" s="6" t="s">
        <v>399</v>
      </c>
      <c r="F1687" s="6">
        <v>98</v>
      </c>
      <c r="G1687" s="6" t="s">
        <v>796</v>
      </c>
      <c r="H1687" s="6" t="s">
        <v>797</v>
      </c>
      <c r="I1687" s="6" t="s">
        <v>90</v>
      </c>
      <c r="J1687" s="6" t="s">
        <v>20</v>
      </c>
      <c r="K1687" s="7">
        <v>61.91</v>
      </c>
    </row>
    <row r="1688" spans="1:11" s="4" customFormat="1" ht="10.199999999999999" x14ac:dyDescent="0.2">
      <c r="A1688" s="6" t="str">
        <f t="shared" si="61"/>
        <v>0008480100</v>
      </c>
      <c r="B1688" s="6" t="str">
        <f>"141872"</f>
        <v>141872</v>
      </c>
      <c r="C1688" s="6" t="s">
        <v>804</v>
      </c>
      <c r="D1688" s="6" t="s">
        <v>59</v>
      </c>
      <c r="E1688" s="6" t="s">
        <v>399</v>
      </c>
      <c r="F1688" s="6">
        <v>98</v>
      </c>
      <c r="G1688" s="6" t="s">
        <v>796</v>
      </c>
      <c r="H1688" s="6" t="s">
        <v>797</v>
      </c>
      <c r="I1688" s="6" t="s">
        <v>274</v>
      </c>
      <c r="J1688" s="6" t="s">
        <v>20</v>
      </c>
      <c r="K1688" s="7">
        <v>61.91</v>
      </c>
    </row>
    <row r="1689" spans="1:11" s="4" customFormat="1" ht="10.199999999999999" x14ac:dyDescent="0.2">
      <c r="A1689" s="6" t="str">
        <f t="shared" si="61"/>
        <v>0008480100</v>
      </c>
      <c r="B1689" s="6" t="str">
        <f>"196109"</f>
        <v>196109</v>
      </c>
      <c r="C1689" s="6" t="s">
        <v>802</v>
      </c>
      <c r="D1689" s="6" t="s">
        <v>59</v>
      </c>
      <c r="E1689" s="6" t="s">
        <v>399</v>
      </c>
      <c r="F1689" s="6">
        <v>98</v>
      </c>
      <c r="G1689" s="6" t="s">
        <v>796</v>
      </c>
      <c r="H1689" s="6" t="s">
        <v>797</v>
      </c>
      <c r="I1689" s="6" t="s">
        <v>211</v>
      </c>
      <c r="J1689" s="6" t="s">
        <v>20</v>
      </c>
      <c r="K1689" s="7">
        <v>61.91</v>
      </c>
    </row>
    <row r="1690" spans="1:11" s="4" customFormat="1" ht="10.199999999999999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7"/>
    </row>
    <row r="1691" spans="1:11" s="4" customFormat="1" ht="10.199999999999999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7"/>
    </row>
    <row r="1692" spans="1:11" s="4" customFormat="1" ht="10.199999999999999" x14ac:dyDescent="0.2">
      <c r="A1692" s="6" t="str">
        <f t="shared" ref="A1692:A1698" si="62">"0008550030"</f>
        <v>0008550030</v>
      </c>
      <c r="B1692" s="6" t="str">
        <f>"021402"</f>
        <v>021402</v>
      </c>
      <c r="C1692" s="6" t="s">
        <v>795</v>
      </c>
      <c r="D1692" s="6" t="s">
        <v>174</v>
      </c>
      <c r="E1692" s="6" t="s">
        <v>399</v>
      </c>
      <c r="F1692" s="6">
        <v>28</v>
      </c>
      <c r="G1692" s="6" t="s">
        <v>796</v>
      </c>
      <c r="H1692" s="6" t="s">
        <v>797</v>
      </c>
      <c r="I1692" s="6" t="s">
        <v>207</v>
      </c>
      <c r="J1692" s="6" t="s">
        <v>17</v>
      </c>
      <c r="K1692" s="7">
        <v>29.91</v>
      </c>
    </row>
    <row r="1693" spans="1:11" s="4" customFormat="1" ht="10.199999999999999" x14ac:dyDescent="0.2">
      <c r="A1693" s="6" t="str">
        <f t="shared" si="62"/>
        <v>0008550030</v>
      </c>
      <c r="B1693" s="6" t="str">
        <f>"040126"</f>
        <v>040126</v>
      </c>
      <c r="C1693" s="6" t="s">
        <v>798</v>
      </c>
      <c r="D1693" s="6" t="s">
        <v>174</v>
      </c>
      <c r="E1693" s="6" t="s">
        <v>399</v>
      </c>
      <c r="F1693" s="6">
        <v>30</v>
      </c>
      <c r="G1693" s="6" t="s">
        <v>796</v>
      </c>
      <c r="H1693" s="6" t="s">
        <v>797</v>
      </c>
      <c r="I1693" s="6" t="s">
        <v>28</v>
      </c>
      <c r="J1693" s="6" t="s">
        <v>20</v>
      </c>
      <c r="K1693" s="7">
        <v>19.23</v>
      </c>
    </row>
    <row r="1694" spans="1:11" s="4" customFormat="1" ht="10.199999999999999" x14ac:dyDescent="0.2">
      <c r="A1694" s="6" t="str">
        <f t="shared" si="62"/>
        <v>0008550030</v>
      </c>
      <c r="B1694" s="6" t="str">
        <f>"590821"</f>
        <v>590821</v>
      </c>
      <c r="C1694" s="6" t="s">
        <v>799</v>
      </c>
      <c r="D1694" s="6" t="s">
        <v>174</v>
      </c>
      <c r="E1694" s="6" t="s">
        <v>399</v>
      </c>
      <c r="F1694" s="6">
        <v>30</v>
      </c>
      <c r="G1694" s="6" t="s">
        <v>796</v>
      </c>
      <c r="H1694" s="6" t="s">
        <v>797</v>
      </c>
      <c r="I1694" s="6" t="s">
        <v>37</v>
      </c>
      <c r="J1694" s="6" t="s">
        <v>20</v>
      </c>
      <c r="K1694" s="7">
        <v>19.23</v>
      </c>
    </row>
    <row r="1695" spans="1:11" s="4" customFormat="1" ht="10.199999999999999" x14ac:dyDescent="0.2">
      <c r="A1695" s="6" t="str">
        <f t="shared" si="62"/>
        <v>0008550030</v>
      </c>
      <c r="B1695" s="6" t="str">
        <f>"040752"</f>
        <v>040752</v>
      </c>
      <c r="C1695" s="6" t="s">
        <v>801</v>
      </c>
      <c r="D1695" s="6" t="s">
        <v>174</v>
      </c>
      <c r="E1695" s="6" t="s">
        <v>399</v>
      </c>
      <c r="F1695" s="6">
        <v>28</v>
      </c>
      <c r="G1695" s="6" t="s">
        <v>796</v>
      </c>
      <c r="H1695" s="6" t="s">
        <v>797</v>
      </c>
      <c r="I1695" s="6" t="s">
        <v>409</v>
      </c>
      <c r="J1695" s="6" t="s">
        <v>20</v>
      </c>
      <c r="K1695" s="7">
        <v>17.95</v>
      </c>
    </row>
    <row r="1696" spans="1:11" s="4" customFormat="1" ht="10.199999999999999" x14ac:dyDescent="0.2">
      <c r="A1696" s="6" t="str">
        <f t="shared" si="62"/>
        <v>0008550030</v>
      </c>
      <c r="B1696" s="6" t="str">
        <f>"140116"</f>
        <v>140116</v>
      </c>
      <c r="C1696" s="6" t="s">
        <v>802</v>
      </c>
      <c r="D1696" s="6" t="s">
        <v>174</v>
      </c>
      <c r="E1696" s="6" t="s">
        <v>399</v>
      </c>
      <c r="F1696" s="6">
        <v>28</v>
      </c>
      <c r="G1696" s="6" t="s">
        <v>796</v>
      </c>
      <c r="H1696" s="6" t="s">
        <v>797</v>
      </c>
      <c r="I1696" s="6" t="s">
        <v>211</v>
      </c>
      <c r="J1696" s="6" t="s">
        <v>20</v>
      </c>
      <c r="K1696" s="7">
        <v>17.95</v>
      </c>
    </row>
    <row r="1697" spans="1:11" s="4" customFormat="1" ht="10.199999999999999" x14ac:dyDescent="0.2">
      <c r="A1697" s="6" t="str">
        <f t="shared" si="62"/>
        <v>0008550030</v>
      </c>
      <c r="B1697" s="6" t="str">
        <f>"448930"</f>
        <v>448930</v>
      </c>
      <c r="C1697" s="6" t="s">
        <v>804</v>
      </c>
      <c r="D1697" s="6" t="s">
        <v>174</v>
      </c>
      <c r="E1697" s="6" t="s">
        <v>399</v>
      </c>
      <c r="F1697" s="6">
        <v>28</v>
      </c>
      <c r="G1697" s="6" t="s">
        <v>796</v>
      </c>
      <c r="H1697" s="6" t="s">
        <v>797</v>
      </c>
      <c r="I1697" s="6" t="s">
        <v>274</v>
      </c>
      <c r="J1697" s="6" t="s">
        <v>20</v>
      </c>
      <c r="K1697" s="7">
        <v>17.95</v>
      </c>
    </row>
    <row r="1698" spans="1:11" s="4" customFormat="1" ht="10.199999999999999" x14ac:dyDescent="0.2">
      <c r="A1698" s="6" t="str">
        <f t="shared" si="62"/>
        <v>0008550030</v>
      </c>
      <c r="B1698" s="6" t="str">
        <f>"472809"</f>
        <v>472809</v>
      </c>
      <c r="C1698" s="6" t="s">
        <v>803</v>
      </c>
      <c r="D1698" s="6" t="s">
        <v>174</v>
      </c>
      <c r="E1698" s="6" t="s">
        <v>399</v>
      </c>
      <c r="F1698" s="6">
        <v>28</v>
      </c>
      <c r="G1698" s="6" t="s">
        <v>796</v>
      </c>
      <c r="H1698" s="6" t="s">
        <v>797</v>
      </c>
      <c r="I1698" s="6" t="s">
        <v>90</v>
      </c>
      <c r="J1698" s="6" t="s">
        <v>20</v>
      </c>
      <c r="K1698" s="7">
        <v>17.95</v>
      </c>
    </row>
    <row r="1699" spans="1:11" s="4" customFormat="1" ht="10.199999999999999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7"/>
    </row>
    <row r="1700" spans="1:11" s="4" customFormat="1" ht="10.199999999999999" x14ac:dyDescent="0.2">
      <c r="A1700" s="6" t="str">
        <f t="shared" ref="A1700:A1707" si="63">"0008550100"</f>
        <v>0008550100</v>
      </c>
      <c r="B1700" s="6" t="str">
        <f>"021469"</f>
        <v>021469</v>
      </c>
      <c r="C1700" s="6" t="s">
        <v>795</v>
      </c>
      <c r="D1700" s="6" t="s">
        <v>174</v>
      </c>
      <c r="E1700" s="6" t="s">
        <v>399</v>
      </c>
      <c r="F1700" s="6">
        <v>98</v>
      </c>
      <c r="G1700" s="6" t="s">
        <v>796</v>
      </c>
      <c r="H1700" s="6" t="s">
        <v>797</v>
      </c>
      <c r="I1700" s="6" t="s">
        <v>207</v>
      </c>
      <c r="J1700" s="6" t="s">
        <v>17</v>
      </c>
      <c r="K1700" s="7">
        <v>104.69</v>
      </c>
    </row>
    <row r="1701" spans="1:11" s="4" customFormat="1" ht="10.199999999999999" x14ac:dyDescent="0.2">
      <c r="A1701" s="6" t="str">
        <f t="shared" si="63"/>
        <v>0008550100</v>
      </c>
      <c r="B1701" s="6" t="str">
        <f>"037263"</f>
        <v>037263</v>
      </c>
      <c r="C1701" s="6" t="s">
        <v>800</v>
      </c>
      <c r="D1701" s="6" t="s">
        <v>174</v>
      </c>
      <c r="E1701" s="6" t="s">
        <v>399</v>
      </c>
      <c r="F1701" s="6">
        <v>100</v>
      </c>
      <c r="G1701" s="6" t="s">
        <v>796</v>
      </c>
      <c r="H1701" s="6" t="s">
        <v>797</v>
      </c>
      <c r="I1701" s="6" t="s">
        <v>35</v>
      </c>
      <c r="J1701" s="6" t="s">
        <v>20</v>
      </c>
      <c r="K1701" s="7">
        <v>64.099999999999994</v>
      </c>
    </row>
    <row r="1702" spans="1:11" s="4" customFormat="1" ht="10.199999999999999" x14ac:dyDescent="0.2">
      <c r="A1702" s="6" t="str">
        <f t="shared" si="63"/>
        <v>0008550100</v>
      </c>
      <c r="B1702" s="6" t="str">
        <f>"040137"</f>
        <v>040137</v>
      </c>
      <c r="C1702" s="6" t="s">
        <v>798</v>
      </c>
      <c r="D1702" s="6" t="s">
        <v>174</v>
      </c>
      <c r="E1702" s="6" t="s">
        <v>399</v>
      </c>
      <c r="F1702" s="6">
        <v>100</v>
      </c>
      <c r="G1702" s="6" t="s">
        <v>796</v>
      </c>
      <c r="H1702" s="6" t="s">
        <v>797</v>
      </c>
      <c r="I1702" s="6" t="s">
        <v>28</v>
      </c>
      <c r="J1702" s="6" t="s">
        <v>20</v>
      </c>
      <c r="K1702" s="7">
        <v>64.099999999999994</v>
      </c>
    </row>
    <row r="1703" spans="1:11" s="4" customFormat="1" ht="10.199999999999999" x14ac:dyDescent="0.2">
      <c r="A1703" s="6" t="str">
        <f t="shared" si="63"/>
        <v>0008550100</v>
      </c>
      <c r="B1703" s="6" t="str">
        <f>"051199"</f>
        <v>051199</v>
      </c>
      <c r="C1703" s="6" t="s">
        <v>799</v>
      </c>
      <c r="D1703" s="6" t="s">
        <v>174</v>
      </c>
      <c r="E1703" s="6" t="s">
        <v>399</v>
      </c>
      <c r="F1703" s="6">
        <v>100</v>
      </c>
      <c r="G1703" s="6" t="s">
        <v>796</v>
      </c>
      <c r="H1703" s="6" t="s">
        <v>797</v>
      </c>
      <c r="I1703" s="6" t="s">
        <v>37</v>
      </c>
      <c r="J1703" s="6" t="s">
        <v>20</v>
      </c>
      <c r="K1703" s="7">
        <v>64.099999999999994</v>
      </c>
    </row>
    <row r="1704" spans="1:11" s="4" customFormat="1" ht="10.199999999999999" x14ac:dyDescent="0.2">
      <c r="A1704" s="6" t="str">
        <f t="shared" si="63"/>
        <v>0008550100</v>
      </c>
      <c r="B1704" s="6" t="str">
        <f>"040763"</f>
        <v>040763</v>
      </c>
      <c r="C1704" s="6" t="s">
        <v>801</v>
      </c>
      <c r="D1704" s="6" t="s">
        <v>174</v>
      </c>
      <c r="E1704" s="6" t="s">
        <v>399</v>
      </c>
      <c r="F1704" s="6">
        <v>98</v>
      </c>
      <c r="G1704" s="6" t="s">
        <v>796</v>
      </c>
      <c r="H1704" s="6" t="s">
        <v>797</v>
      </c>
      <c r="I1704" s="6" t="s">
        <v>409</v>
      </c>
      <c r="J1704" s="6" t="s">
        <v>20</v>
      </c>
      <c r="K1704" s="7">
        <v>62.81</v>
      </c>
    </row>
    <row r="1705" spans="1:11" s="4" customFormat="1" ht="10.199999999999999" x14ac:dyDescent="0.2">
      <c r="A1705" s="6" t="str">
        <f t="shared" si="63"/>
        <v>0008550100</v>
      </c>
      <c r="B1705" s="6" t="str">
        <f>"387991"</f>
        <v>387991</v>
      </c>
      <c r="C1705" s="6" t="s">
        <v>804</v>
      </c>
      <c r="D1705" s="6" t="s">
        <v>174</v>
      </c>
      <c r="E1705" s="6" t="s">
        <v>399</v>
      </c>
      <c r="F1705" s="6">
        <v>98</v>
      </c>
      <c r="G1705" s="6" t="s">
        <v>796</v>
      </c>
      <c r="H1705" s="6" t="s">
        <v>797</v>
      </c>
      <c r="I1705" s="6" t="s">
        <v>274</v>
      </c>
      <c r="J1705" s="6" t="s">
        <v>20</v>
      </c>
      <c r="K1705" s="7">
        <v>62.81</v>
      </c>
    </row>
    <row r="1706" spans="1:11" s="4" customFormat="1" ht="10.199999999999999" x14ac:dyDescent="0.2">
      <c r="A1706" s="6" t="str">
        <f t="shared" si="63"/>
        <v>0008550100</v>
      </c>
      <c r="B1706" s="6" t="str">
        <f>"389900"</f>
        <v>389900</v>
      </c>
      <c r="C1706" s="6" t="s">
        <v>802</v>
      </c>
      <c r="D1706" s="6" t="s">
        <v>174</v>
      </c>
      <c r="E1706" s="6" t="s">
        <v>399</v>
      </c>
      <c r="F1706" s="6">
        <v>98</v>
      </c>
      <c r="G1706" s="6" t="s">
        <v>796</v>
      </c>
      <c r="H1706" s="6" t="s">
        <v>797</v>
      </c>
      <c r="I1706" s="6" t="s">
        <v>211</v>
      </c>
      <c r="J1706" s="6" t="s">
        <v>20</v>
      </c>
      <c r="K1706" s="7">
        <v>62.81</v>
      </c>
    </row>
    <row r="1707" spans="1:11" s="4" customFormat="1" ht="10.199999999999999" x14ac:dyDescent="0.2">
      <c r="A1707" s="6" t="str">
        <f t="shared" si="63"/>
        <v>0008550100</v>
      </c>
      <c r="B1707" s="6" t="str">
        <f>"436357"</f>
        <v>436357</v>
      </c>
      <c r="C1707" s="6" t="s">
        <v>803</v>
      </c>
      <c r="D1707" s="6" t="s">
        <v>174</v>
      </c>
      <c r="E1707" s="6" t="s">
        <v>399</v>
      </c>
      <c r="F1707" s="6">
        <v>98</v>
      </c>
      <c r="G1707" s="6" t="s">
        <v>796</v>
      </c>
      <c r="H1707" s="6" t="s">
        <v>797</v>
      </c>
      <c r="I1707" s="6" t="s">
        <v>90</v>
      </c>
      <c r="J1707" s="6" t="s">
        <v>20</v>
      </c>
      <c r="K1707" s="7">
        <v>62.81</v>
      </c>
    </row>
    <row r="1708" spans="1:11" s="4" customFormat="1" ht="10.199999999999999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7"/>
    </row>
    <row r="1709" spans="1:11" s="4" customFormat="1" ht="10.199999999999999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7"/>
    </row>
    <row r="1710" spans="1:11" s="4" customFormat="1" ht="10.199999999999999" x14ac:dyDescent="0.2">
      <c r="A1710" s="6" t="str">
        <f t="shared" ref="A1710:A1718" si="64">"0008820030"</f>
        <v>0008820030</v>
      </c>
      <c r="B1710" s="6" t="str">
        <f>"021048"</f>
        <v>021048</v>
      </c>
      <c r="C1710" s="6" t="s">
        <v>795</v>
      </c>
      <c r="D1710" s="6" t="s">
        <v>39</v>
      </c>
      <c r="E1710" s="6" t="s">
        <v>13</v>
      </c>
      <c r="F1710" s="6">
        <v>28</v>
      </c>
      <c r="G1710" s="6" t="s">
        <v>796</v>
      </c>
      <c r="H1710" s="6" t="s">
        <v>797</v>
      </c>
      <c r="I1710" s="6" t="s">
        <v>207</v>
      </c>
      <c r="J1710" s="6" t="s">
        <v>17</v>
      </c>
      <c r="K1710" s="7">
        <v>31.23</v>
      </c>
    </row>
    <row r="1711" spans="1:11" s="4" customFormat="1" ht="10.199999999999999" x14ac:dyDescent="0.2">
      <c r="A1711" s="6" t="str">
        <f t="shared" si="64"/>
        <v>0008820030</v>
      </c>
      <c r="B1711" s="6" t="str">
        <f>"040080"</f>
        <v>040080</v>
      </c>
      <c r="C1711" s="6" t="s">
        <v>798</v>
      </c>
      <c r="D1711" s="6" t="s">
        <v>39</v>
      </c>
      <c r="E1711" s="6" t="s">
        <v>13</v>
      </c>
      <c r="F1711" s="6">
        <v>30</v>
      </c>
      <c r="G1711" s="6" t="s">
        <v>796</v>
      </c>
      <c r="H1711" s="6" t="s">
        <v>797</v>
      </c>
      <c r="I1711" s="6" t="s">
        <v>28</v>
      </c>
      <c r="J1711" s="6" t="s">
        <v>20</v>
      </c>
      <c r="K1711" s="7">
        <v>20.079999999999998</v>
      </c>
    </row>
    <row r="1712" spans="1:11" s="4" customFormat="1" ht="10.199999999999999" x14ac:dyDescent="0.2">
      <c r="A1712" s="6" t="str">
        <f t="shared" si="64"/>
        <v>0008820030</v>
      </c>
      <c r="B1712" s="6" t="str">
        <f>"051860"</f>
        <v>051860</v>
      </c>
      <c r="C1712" s="6" t="s">
        <v>800</v>
      </c>
      <c r="D1712" s="6" t="s">
        <v>39</v>
      </c>
      <c r="E1712" s="6" t="s">
        <v>13</v>
      </c>
      <c r="F1712" s="6">
        <v>30</v>
      </c>
      <c r="G1712" s="6" t="s">
        <v>796</v>
      </c>
      <c r="H1712" s="6" t="s">
        <v>797</v>
      </c>
      <c r="I1712" s="6" t="s">
        <v>35</v>
      </c>
      <c r="J1712" s="6" t="s">
        <v>20</v>
      </c>
      <c r="K1712" s="7">
        <v>20.079999999999998</v>
      </c>
    </row>
    <row r="1713" spans="1:11" s="4" customFormat="1" ht="10.199999999999999" x14ac:dyDescent="0.2">
      <c r="A1713" s="6" t="str">
        <f t="shared" si="64"/>
        <v>0008820030</v>
      </c>
      <c r="B1713" s="6" t="str">
        <f>"172283"</f>
        <v>172283</v>
      </c>
      <c r="C1713" s="6" t="s">
        <v>799</v>
      </c>
      <c r="D1713" s="6" t="s">
        <v>39</v>
      </c>
      <c r="E1713" s="6" t="s">
        <v>13</v>
      </c>
      <c r="F1713" s="6">
        <v>30</v>
      </c>
      <c r="G1713" s="6" t="s">
        <v>796</v>
      </c>
      <c r="H1713" s="6" t="s">
        <v>797</v>
      </c>
      <c r="I1713" s="6" t="s">
        <v>37</v>
      </c>
      <c r="J1713" s="6" t="s">
        <v>20</v>
      </c>
      <c r="K1713" s="7">
        <v>20.079999999999998</v>
      </c>
    </row>
    <row r="1714" spans="1:11" s="4" customFormat="1" ht="10.199999999999999" x14ac:dyDescent="0.2">
      <c r="A1714" s="6" t="str">
        <f t="shared" si="64"/>
        <v>0008820030</v>
      </c>
      <c r="B1714" s="6" t="str">
        <f>"040775"</f>
        <v>040775</v>
      </c>
      <c r="C1714" s="6" t="s">
        <v>801</v>
      </c>
      <c r="D1714" s="6" t="s">
        <v>39</v>
      </c>
      <c r="E1714" s="6" t="s">
        <v>13</v>
      </c>
      <c r="F1714" s="6">
        <v>28</v>
      </c>
      <c r="G1714" s="6" t="s">
        <v>796</v>
      </c>
      <c r="H1714" s="6" t="s">
        <v>797</v>
      </c>
      <c r="I1714" s="6" t="s">
        <v>409</v>
      </c>
      <c r="J1714" s="6" t="s">
        <v>20</v>
      </c>
      <c r="K1714" s="7">
        <v>18.739999999999998</v>
      </c>
    </row>
    <row r="1715" spans="1:11" s="4" customFormat="1" ht="10.199999999999999" x14ac:dyDescent="0.2">
      <c r="A1715" s="6" t="str">
        <f t="shared" si="64"/>
        <v>0008820030</v>
      </c>
      <c r="B1715" s="6" t="str">
        <f>"083191"</f>
        <v>083191</v>
      </c>
      <c r="C1715" s="6" t="s">
        <v>805</v>
      </c>
      <c r="D1715" s="6" t="s">
        <v>39</v>
      </c>
      <c r="E1715" s="6" t="s">
        <v>13</v>
      </c>
      <c r="F1715" s="6">
        <v>28</v>
      </c>
      <c r="G1715" s="6" t="s">
        <v>796</v>
      </c>
      <c r="H1715" s="6" t="s">
        <v>797</v>
      </c>
      <c r="I1715" s="6" t="s">
        <v>30</v>
      </c>
      <c r="J1715" s="6" t="s">
        <v>20</v>
      </c>
      <c r="K1715" s="7">
        <v>18.739999999999998</v>
      </c>
    </row>
    <row r="1716" spans="1:11" s="4" customFormat="1" ht="10.199999999999999" x14ac:dyDescent="0.2">
      <c r="A1716" s="6" t="str">
        <f t="shared" si="64"/>
        <v>0008820030</v>
      </c>
      <c r="B1716" s="6" t="str">
        <f>"190543"</f>
        <v>190543</v>
      </c>
      <c r="C1716" s="6" t="s">
        <v>803</v>
      </c>
      <c r="D1716" s="6" t="s">
        <v>39</v>
      </c>
      <c r="E1716" s="6" t="s">
        <v>13</v>
      </c>
      <c r="F1716" s="6">
        <v>28</v>
      </c>
      <c r="G1716" s="6" t="s">
        <v>796</v>
      </c>
      <c r="H1716" s="6" t="s">
        <v>797</v>
      </c>
      <c r="I1716" s="6" t="s">
        <v>90</v>
      </c>
      <c r="J1716" s="6" t="s">
        <v>20</v>
      </c>
      <c r="K1716" s="7">
        <v>18.739999999999998</v>
      </c>
    </row>
    <row r="1717" spans="1:11" s="4" customFormat="1" ht="10.199999999999999" x14ac:dyDescent="0.2">
      <c r="A1717" s="6" t="str">
        <f t="shared" si="64"/>
        <v>0008820030</v>
      </c>
      <c r="B1717" s="6" t="str">
        <f>"396186"</f>
        <v>396186</v>
      </c>
      <c r="C1717" s="6" t="s">
        <v>804</v>
      </c>
      <c r="D1717" s="6" t="s">
        <v>39</v>
      </c>
      <c r="E1717" s="6" t="s">
        <v>13</v>
      </c>
      <c r="F1717" s="6">
        <v>28</v>
      </c>
      <c r="G1717" s="6" t="s">
        <v>796</v>
      </c>
      <c r="H1717" s="6" t="s">
        <v>797</v>
      </c>
      <c r="I1717" s="6" t="s">
        <v>274</v>
      </c>
      <c r="J1717" s="6" t="s">
        <v>20</v>
      </c>
      <c r="K1717" s="7">
        <v>18.739999999999998</v>
      </c>
    </row>
    <row r="1718" spans="1:11" s="4" customFormat="1" ht="10.199999999999999" x14ac:dyDescent="0.2">
      <c r="A1718" s="6" t="str">
        <f t="shared" si="64"/>
        <v>0008820030</v>
      </c>
      <c r="B1718" s="6" t="str">
        <f>"535488"</f>
        <v>535488</v>
      </c>
      <c r="C1718" s="6" t="s">
        <v>802</v>
      </c>
      <c r="D1718" s="6" t="s">
        <v>39</v>
      </c>
      <c r="E1718" s="6" t="s">
        <v>82</v>
      </c>
      <c r="F1718" s="6">
        <v>28</v>
      </c>
      <c r="G1718" s="6" t="s">
        <v>796</v>
      </c>
      <c r="H1718" s="6" t="s">
        <v>797</v>
      </c>
      <c r="I1718" s="6" t="s">
        <v>211</v>
      </c>
      <c r="J1718" s="6" t="s">
        <v>20</v>
      </c>
      <c r="K1718" s="7">
        <v>18.739999999999998</v>
      </c>
    </row>
    <row r="1719" spans="1:11" s="4" customFormat="1" ht="10.199999999999999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7"/>
    </row>
    <row r="1720" spans="1:11" s="4" customFormat="1" ht="10.199999999999999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7"/>
    </row>
    <row r="1721" spans="1:11" s="4" customFormat="1" ht="10.199999999999999" x14ac:dyDescent="0.2">
      <c r="A1721" s="6" t="str">
        <f t="shared" ref="A1721:A1729" si="65">"0008820100"</f>
        <v>0008820100</v>
      </c>
      <c r="B1721" s="6" t="str">
        <f>"021345"</f>
        <v>021345</v>
      </c>
      <c r="C1721" s="6" t="s">
        <v>795</v>
      </c>
      <c r="D1721" s="6" t="s">
        <v>39</v>
      </c>
      <c r="E1721" s="6" t="s">
        <v>13</v>
      </c>
      <c r="F1721" s="6">
        <v>98</v>
      </c>
      <c r="G1721" s="6" t="s">
        <v>796</v>
      </c>
      <c r="H1721" s="6" t="s">
        <v>797</v>
      </c>
      <c r="I1721" s="6" t="s">
        <v>207</v>
      </c>
      <c r="J1721" s="6" t="s">
        <v>17</v>
      </c>
      <c r="K1721" s="7">
        <v>109.3</v>
      </c>
    </row>
    <row r="1722" spans="1:11" s="4" customFormat="1" ht="10.199999999999999" x14ac:dyDescent="0.2">
      <c r="A1722" s="6" t="str">
        <f t="shared" si="65"/>
        <v>0008820100</v>
      </c>
      <c r="B1722" s="6" t="str">
        <f>"026107"</f>
        <v>026107</v>
      </c>
      <c r="C1722" s="6" t="s">
        <v>799</v>
      </c>
      <c r="D1722" s="6" t="s">
        <v>39</v>
      </c>
      <c r="E1722" s="6" t="s">
        <v>13</v>
      </c>
      <c r="F1722" s="6">
        <v>100</v>
      </c>
      <c r="G1722" s="6" t="s">
        <v>796</v>
      </c>
      <c r="H1722" s="6" t="s">
        <v>797</v>
      </c>
      <c r="I1722" s="6" t="s">
        <v>37</v>
      </c>
      <c r="J1722" s="6" t="s">
        <v>20</v>
      </c>
      <c r="K1722" s="7">
        <v>66.92</v>
      </c>
    </row>
    <row r="1723" spans="1:11" s="4" customFormat="1" ht="10.199999999999999" x14ac:dyDescent="0.2">
      <c r="A1723" s="6" t="str">
        <f t="shared" si="65"/>
        <v>0008820100</v>
      </c>
      <c r="B1723" s="6" t="str">
        <f>"040091"</f>
        <v>040091</v>
      </c>
      <c r="C1723" s="6" t="s">
        <v>798</v>
      </c>
      <c r="D1723" s="6" t="s">
        <v>39</v>
      </c>
      <c r="E1723" s="6" t="s">
        <v>13</v>
      </c>
      <c r="F1723" s="6">
        <v>100</v>
      </c>
      <c r="G1723" s="6" t="s">
        <v>796</v>
      </c>
      <c r="H1723" s="6" t="s">
        <v>797</v>
      </c>
      <c r="I1723" s="6" t="s">
        <v>28</v>
      </c>
      <c r="J1723" s="6" t="s">
        <v>20</v>
      </c>
      <c r="K1723" s="7">
        <v>66.92</v>
      </c>
    </row>
    <row r="1724" spans="1:11" s="4" customFormat="1" ht="10.199999999999999" x14ac:dyDescent="0.2">
      <c r="A1724" s="6" t="str">
        <f t="shared" si="65"/>
        <v>0008820100</v>
      </c>
      <c r="B1724" s="6" t="str">
        <f>"464013"</f>
        <v>464013</v>
      </c>
      <c r="C1724" s="6" t="s">
        <v>800</v>
      </c>
      <c r="D1724" s="6" t="s">
        <v>39</v>
      </c>
      <c r="E1724" s="6" t="s">
        <v>13</v>
      </c>
      <c r="F1724" s="6">
        <v>100</v>
      </c>
      <c r="G1724" s="6" t="s">
        <v>796</v>
      </c>
      <c r="H1724" s="6" t="s">
        <v>797</v>
      </c>
      <c r="I1724" s="6" t="s">
        <v>35</v>
      </c>
      <c r="J1724" s="6" t="s">
        <v>20</v>
      </c>
      <c r="K1724" s="7">
        <v>66.92</v>
      </c>
    </row>
    <row r="1725" spans="1:11" s="4" customFormat="1" ht="10.199999999999999" x14ac:dyDescent="0.2">
      <c r="A1725" s="6" t="str">
        <f t="shared" si="65"/>
        <v>0008820100</v>
      </c>
      <c r="B1725" s="6" t="str">
        <f>"040786"</f>
        <v>040786</v>
      </c>
      <c r="C1725" s="6" t="s">
        <v>801</v>
      </c>
      <c r="D1725" s="6" t="s">
        <v>39</v>
      </c>
      <c r="E1725" s="6" t="s">
        <v>13</v>
      </c>
      <c r="F1725" s="6">
        <v>98</v>
      </c>
      <c r="G1725" s="6" t="s">
        <v>796</v>
      </c>
      <c r="H1725" s="6" t="s">
        <v>797</v>
      </c>
      <c r="I1725" s="6" t="s">
        <v>409</v>
      </c>
      <c r="J1725" s="6" t="s">
        <v>20</v>
      </c>
      <c r="K1725" s="7">
        <v>65.58</v>
      </c>
    </row>
    <row r="1726" spans="1:11" s="4" customFormat="1" ht="10.199999999999999" x14ac:dyDescent="0.2">
      <c r="A1726" s="6" t="str">
        <f t="shared" si="65"/>
        <v>0008820100</v>
      </c>
      <c r="B1726" s="6" t="str">
        <f>"073990"</f>
        <v>073990</v>
      </c>
      <c r="C1726" s="6" t="s">
        <v>805</v>
      </c>
      <c r="D1726" s="6" t="s">
        <v>39</v>
      </c>
      <c r="E1726" s="6" t="s">
        <v>13</v>
      </c>
      <c r="F1726" s="6">
        <v>100</v>
      </c>
      <c r="G1726" s="6" t="s">
        <v>796</v>
      </c>
      <c r="H1726" s="6" t="s">
        <v>797</v>
      </c>
      <c r="I1726" s="6" t="s">
        <v>30</v>
      </c>
      <c r="J1726" s="6" t="s">
        <v>20</v>
      </c>
      <c r="K1726" s="7">
        <v>65.58</v>
      </c>
    </row>
    <row r="1727" spans="1:11" s="4" customFormat="1" ht="10.199999999999999" x14ac:dyDescent="0.2">
      <c r="A1727" s="6" t="str">
        <f t="shared" si="65"/>
        <v>0008820100</v>
      </c>
      <c r="B1727" s="6" t="str">
        <f>"118101"</f>
        <v>118101</v>
      </c>
      <c r="C1727" s="6" t="s">
        <v>802</v>
      </c>
      <c r="D1727" s="6" t="s">
        <v>39</v>
      </c>
      <c r="E1727" s="6" t="s">
        <v>82</v>
      </c>
      <c r="F1727" s="6">
        <v>98</v>
      </c>
      <c r="G1727" s="6" t="s">
        <v>796</v>
      </c>
      <c r="H1727" s="6" t="s">
        <v>797</v>
      </c>
      <c r="I1727" s="6" t="s">
        <v>211</v>
      </c>
      <c r="J1727" s="6" t="s">
        <v>20</v>
      </c>
      <c r="K1727" s="7">
        <v>65.58</v>
      </c>
    </row>
    <row r="1728" spans="1:11" s="4" customFormat="1" ht="10.199999999999999" x14ac:dyDescent="0.2">
      <c r="A1728" s="6" t="str">
        <f t="shared" si="65"/>
        <v>0008820100</v>
      </c>
      <c r="B1728" s="6" t="str">
        <f>"174627"</f>
        <v>174627</v>
      </c>
      <c r="C1728" s="6" t="s">
        <v>803</v>
      </c>
      <c r="D1728" s="6" t="s">
        <v>39</v>
      </c>
      <c r="E1728" s="6" t="s">
        <v>13</v>
      </c>
      <c r="F1728" s="6">
        <v>98</v>
      </c>
      <c r="G1728" s="6" t="s">
        <v>796</v>
      </c>
      <c r="H1728" s="6" t="s">
        <v>797</v>
      </c>
      <c r="I1728" s="6" t="s">
        <v>90</v>
      </c>
      <c r="J1728" s="6" t="s">
        <v>20</v>
      </c>
      <c r="K1728" s="7">
        <v>65.58</v>
      </c>
    </row>
    <row r="1729" spans="1:11" s="4" customFormat="1" ht="10.199999999999999" x14ac:dyDescent="0.2">
      <c r="A1729" s="6" t="str">
        <f t="shared" si="65"/>
        <v>0008820100</v>
      </c>
      <c r="B1729" s="6" t="str">
        <f>"434169"</f>
        <v>434169</v>
      </c>
      <c r="C1729" s="6" t="s">
        <v>804</v>
      </c>
      <c r="D1729" s="6" t="s">
        <v>39</v>
      </c>
      <c r="E1729" s="6" t="s">
        <v>13</v>
      </c>
      <c r="F1729" s="6">
        <v>98</v>
      </c>
      <c r="G1729" s="6" t="s">
        <v>796</v>
      </c>
      <c r="H1729" s="6" t="s">
        <v>797</v>
      </c>
      <c r="I1729" s="6" t="s">
        <v>274</v>
      </c>
      <c r="J1729" s="6" t="s">
        <v>20</v>
      </c>
      <c r="K1729" s="7">
        <v>65.58</v>
      </c>
    </row>
    <row r="1730" spans="1:11" s="4" customFormat="1" ht="10.199999999999999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7"/>
    </row>
    <row r="1731" spans="1:11" s="4" customFormat="1" ht="10.199999999999999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7"/>
    </row>
    <row r="1732" spans="1:11" s="4" customFormat="1" ht="10.199999999999999" x14ac:dyDescent="0.2">
      <c r="A1732" s="6" t="str">
        <f>"0012060030"</f>
        <v>0012060030</v>
      </c>
      <c r="B1732" s="6" t="str">
        <f>"011526"</f>
        <v>011526</v>
      </c>
      <c r="C1732" s="6" t="s">
        <v>795</v>
      </c>
      <c r="D1732" s="6" t="s">
        <v>59</v>
      </c>
      <c r="E1732" s="6" t="s">
        <v>806</v>
      </c>
      <c r="F1732" s="6">
        <v>28</v>
      </c>
      <c r="G1732" s="6" t="s">
        <v>796</v>
      </c>
      <c r="H1732" s="6" t="s">
        <v>797</v>
      </c>
      <c r="I1732" s="6" t="s">
        <v>207</v>
      </c>
      <c r="J1732" s="6" t="s">
        <v>17</v>
      </c>
      <c r="K1732" s="7">
        <v>29.69</v>
      </c>
    </row>
    <row r="1733" spans="1:11" s="4" customFormat="1" ht="10.199999999999999" x14ac:dyDescent="0.2">
      <c r="A1733" s="6" t="str">
        <f>"0012060030"</f>
        <v>0012060030</v>
      </c>
      <c r="B1733" s="6" t="str">
        <f>"053336"</f>
        <v>053336</v>
      </c>
      <c r="C1733" s="6" t="s">
        <v>799</v>
      </c>
      <c r="D1733" s="6" t="s">
        <v>59</v>
      </c>
      <c r="E1733" s="6" t="s">
        <v>806</v>
      </c>
      <c r="F1733" s="6">
        <v>30</v>
      </c>
      <c r="G1733" s="6" t="s">
        <v>796</v>
      </c>
      <c r="H1733" s="6" t="s">
        <v>797</v>
      </c>
      <c r="I1733" s="6" t="s">
        <v>37</v>
      </c>
      <c r="J1733" s="6" t="s">
        <v>20</v>
      </c>
      <c r="K1733" s="7">
        <v>19.09</v>
      </c>
    </row>
    <row r="1734" spans="1:11" s="4" customFormat="1" ht="10.199999999999999" x14ac:dyDescent="0.2">
      <c r="A1734" s="6" t="str">
        <f>"0012060030"</f>
        <v>0012060030</v>
      </c>
      <c r="B1734" s="6" t="str">
        <f>"117882"</f>
        <v>117882</v>
      </c>
      <c r="C1734" s="6" t="s">
        <v>804</v>
      </c>
      <c r="D1734" s="6" t="s">
        <v>59</v>
      </c>
      <c r="E1734" s="6" t="s">
        <v>806</v>
      </c>
      <c r="F1734" s="6">
        <v>28</v>
      </c>
      <c r="G1734" s="6" t="s">
        <v>796</v>
      </c>
      <c r="H1734" s="6" t="s">
        <v>797</v>
      </c>
      <c r="I1734" s="6" t="s">
        <v>274</v>
      </c>
      <c r="J1734" s="6" t="s">
        <v>20</v>
      </c>
      <c r="K1734" s="7">
        <v>17.809999999999999</v>
      </c>
    </row>
    <row r="1735" spans="1:11" s="4" customFormat="1" ht="10.199999999999999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7"/>
    </row>
    <row r="1736" spans="1:11" s="4" customFormat="1" ht="10.199999999999999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7"/>
    </row>
    <row r="1737" spans="1:11" s="4" customFormat="1" ht="10.199999999999999" x14ac:dyDescent="0.2">
      <c r="A1737" s="6" t="str">
        <f t="shared" ref="A1737:A1742" si="66">"0006600100"</f>
        <v>0006600100</v>
      </c>
      <c r="B1737" s="6" t="str">
        <f>"008641"</f>
        <v>008641</v>
      </c>
      <c r="C1737" s="6" t="s">
        <v>807</v>
      </c>
      <c r="D1737" s="6" t="s">
        <v>174</v>
      </c>
      <c r="E1737" s="6" t="s">
        <v>13</v>
      </c>
      <c r="F1737" s="6">
        <v>100</v>
      </c>
      <c r="G1737" s="6" t="s">
        <v>808</v>
      </c>
      <c r="H1737" s="6" t="s">
        <v>809</v>
      </c>
      <c r="I1737" s="6" t="s">
        <v>810</v>
      </c>
      <c r="J1737" s="6" t="s">
        <v>17</v>
      </c>
      <c r="K1737" s="7">
        <v>25.53</v>
      </c>
    </row>
    <row r="1738" spans="1:11" s="4" customFormat="1" ht="10.199999999999999" x14ac:dyDescent="0.2">
      <c r="A1738" s="6" t="str">
        <f t="shared" si="66"/>
        <v>0006600100</v>
      </c>
      <c r="B1738" s="6" t="str">
        <f>"041761"</f>
        <v>041761</v>
      </c>
      <c r="C1738" s="6" t="s">
        <v>811</v>
      </c>
      <c r="D1738" s="6" t="s">
        <v>174</v>
      </c>
      <c r="E1738" s="6" t="s">
        <v>13</v>
      </c>
      <c r="F1738" s="6">
        <v>100</v>
      </c>
      <c r="G1738" s="6" t="s">
        <v>808</v>
      </c>
      <c r="H1738" s="6" t="s">
        <v>809</v>
      </c>
      <c r="I1738" s="6" t="s">
        <v>409</v>
      </c>
      <c r="J1738" s="6" t="s">
        <v>20</v>
      </c>
      <c r="K1738" s="7">
        <v>15.32</v>
      </c>
    </row>
    <row r="1739" spans="1:11" s="4" customFormat="1" ht="10.199999999999999" x14ac:dyDescent="0.2">
      <c r="A1739" s="6" t="str">
        <f t="shared" si="66"/>
        <v>0006600100</v>
      </c>
      <c r="B1739" s="6" t="str">
        <f>"051017"</f>
        <v>051017</v>
      </c>
      <c r="C1739" s="6" t="s">
        <v>812</v>
      </c>
      <c r="D1739" s="6" t="s">
        <v>174</v>
      </c>
      <c r="E1739" s="6" t="s">
        <v>13</v>
      </c>
      <c r="F1739" s="6">
        <v>100</v>
      </c>
      <c r="G1739" s="6" t="s">
        <v>808</v>
      </c>
      <c r="H1739" s="6" t="s">
        <v>809</v>
      </c>
      <c r="I1739" s="6" t="s">
        <v>65</v>
      </c>
      <c r="J1739" s="6" t="s">
        <v>20</v>
      </c>
      <c r="K1739" s="7">
        <v>15.32</v>
      </c>
    </row>
    <row r="1740" spans="1:11" s="4" customFormat="1" ht="10.199999999999999" x14ac:dyDescent="0.2">
      <c r="A1740" s="6" t="str">
        <f t="shared" si="66"/>
        <v>0006600100</v>
      </c>
      <c r="B1740" s="6" t="str">
        <f>"060164"</f>
        <v>060164</v>
      </c>
      <c r="C1740" s="6" t="s">
        <v>813</v>
      </c>
      <c r="D1740" s="6" t="s">
        <v>174</v>
      </c>
      <c r="E1740" s="6" t="s">
        <v>13</v>
      </c>
      <c r="F1740" s="6">
        <v>100</v>
      </c>
      <c r="G1740" s="6" t="s">
        <v>808</v>
      </c>
      <c r="H1740" s="6" t="s">
        <v>809</v>
      </c>
      <c r="I1740" s="6" t="s">
        <v>37</v>
      </c>
      <c r="J1740" s="6" t="s">
        <v>20</v>
      </c>
      <c r="K1740" s="7">
        <v>15.32</v>
      </c>
    </row>
    <row r="1741" spans="1:11" s="4" customFormat="1" ht="10.199999999999999" x14ac:dyDescent="0.2">
      <c r="A1741" s="6" t="str">
        <f t="shared" si="66"/>
        <v>0006600100</v>
      </c>
      <c r="B1741" s="6" t="str">
        <f>"066849"</f>
        <v>066849</v>
      </c>
      <c r="C1741" s="6" t="s">
        <v>814</v>
      </c>
      <c r="D1741" s="6" t="s">
        <v>174</v>
      </c>
      <c r="E1741" s="6" t="s">
        <v>13</v>
      </c>
      <c r="F1741" s="6">
        <v>100</v>
      </c>
      <c r="G1741" s="6" t="s">
        <v>808</v>
      </c>
      <c r="H1741" s="6" t="s">
        <v>809</v>
      </c>
      <c r="I1741" s="6" t="s">
        <v>35</v>
      </c>
      <c r="J1741" s="6" t="s">
        <v>20</v>
      </c>
      <c r="K1741" s="7">
        <v>15.32</v>
      </c>
    </row>
    <row r="1742" spans="1:11" s="4" customFormat="1" ht="10.199999999999999" x14ac:dyDescent="0.2">
      <c r="A1742" s="6" t="str">
        <f t="shared" si="66"/>
        <v>0006600100</v>
      </c>
      <c r="B1742" s="6" t="str">
        <f>"070528"</f>
        <v>070528</v>
      </c>
      <c r="C1742" s="6" t="s">
        <v>815</v>
      </c>
      <c r="D1742" s="6" t="s">
        <v>174</v>
      </c>
      <c r="E1742" s="6" t="s">
        <v>13</v>
      </c>
      <c r="F1742" s="6">
        <v>100</v>
      </c>
      <c r="G1742" s="6" t="s">
        <v>808</v>
      </c>
      <c r="H1742" s="6" t="s">
        <v>809</v>
      </c>
      <c r="I1742" s="6" t="s">
        <v>19</v>
      </c>
      <c r="J1742" s="6" t="s">
        <v>20</v>
      </c>
      <c r="K1742" s="7">
        <v>15.32</v>
      </c>
    </row>
    <row r="1743" spans="1:11" s="4" customFormat="1" ht="10.199999999999999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7"/>
    </row>
    <row r="1744" spans="1:11" s="4" customFormat="1" ht="10.199999999999999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7"/>
    </row>
    <row r="1745" spans="1:11" s="4" customFormat="1" ht="20.399999999999999" x14ac:dyDescent="0.2">
      <c r="A1745" s="6" t="str">
        <f>"0004310120"</f>
        <v>0004310120</v>
      </c>
      <c r="B1745" s="6" t="str">
        <f>"097288"</f>
        <v>097288</v>
      </c>
      <c r="C1745" s="6" t="s">
        <v>816</v>
      </c>
      <c r="D1745" s="6" t="s">
        <v>787</v>
      </c>
      <c r="E1745" s="6" t="s">
        <v>746</v>
      </c>
      <c r="F1745" s="6" t="s">
        <v>817</v>
      </c>
      <c r="G1745" s="6" t="s">
        <v>818</v>
      </c>
      <c r="H1745" s="6" t="s">
        <v>819</v>
      </c>
      <c r="I1745" s="6" t="s">
        <v>469</v>
      </c>
      <c r="J1745" s="6" t="s">
        <v>17</v>
      </c>
      <c r="K1745" s="7">
        <v>5.36</v>
      </c>
    </row>
    <row r="1746" spans="1:11" s="4" customFormat="1" ht="10.199999999999999" x14ac:dyDescent="0.2">
      <c r="A1746" s="6" t="str">
        <f>"0004310120"</f>
        <v>0004310120</v>
      </c>
      <c r="B1746" s="6" t="str">
        <f>"092764"</f>
        <v>092764</v>
      </c>
      <c r="C1746" s="6" t="s">
        <v>820</v>
      </c>
      <c r="D1746" s="6" t="s">
        <v>787</v>
      </c>
      <c r="E1746" s="6" t="s">
        <v>746</v>
      </c>
      <c r="F1746" s="6" t="s">
        <v>817</v>
      </c>
      <c r="G1746" s="6" t="s">
        <v>818</v>
      </c>
      <c r="H1746" s="6" t="s">
        <v>819</v>
      </c>
      <c r="I1746" s="6" t="s">
        <v>65</v>
      </c>
      <c r="J1746" s="6" t="s">
        <v>20</v>
      </c>
      <c r="K1746" s="7">
        <v>3.21</v>
      </c>
    </row>
    <row r="1747" spans="1:11" s="4" customFormat="1" ht="20.399999999999999" x14ac:dyDescent="0.2">
      <c r="A1747" s="6" t="str">
        <f>"0004310120"</f>
        <v>0004310120</v>
      </c>
      <c r="B1747" s="6" t="str">
        <f>"136459"</f>
        <v>136459</v>
      </c>
      <c r="C1747" s="6" t="s">
        <v>821</v>
      </c>
      <c r="D1747" s="6" t="s">
        <v>787</v>
      </c>
      <c r="E1747" s="6" t="s">
        <v>746</v>
      </c>
      <c r="F1747" s="6" t="s">
        <v>817</v>
      </c>
      <c r="G1747" s="6" t="s">
        <v>818</v>
      </c>
      <c r="H1747" s="6" t="s">
        <v>819</v>
      </c>
      <c r="I1747" s="6" t="s">
        <v>19</v>
      </c>
      <c r="J1747" s="6" t="s">
        <v>20</v>
      </c>
      <c r="K1747" s="7">
        <v>3.21</v>
      </c>
    </row>
    <row r="1748" spans="1:11" s="4" customFormat="1" ht="10.199999999999999" x14ac:dyDescent="0.2">
      <c r="A1748" s="6" t="str">
        <f>"0004310120"</f>
        <v>0004310120</v>
      </c>
      <c r="B1748" s="6" t="str">
        <f>"395800"</f>
        <v>395800</v>
      </c>
      <c r="C1748" s="6" t="s">
        <v>822</v>
      </c>
      <c r="D1748" s="6" t="s">
        <v>787</v>
      </c>
      <c r="E1748" s="6" t="s">
        <v>746</v>
      </c>
      <c r="F1748" s="6" t="s">
        <v>817</v>
      </c>
      <c r="G1748" s="6" t="s">
        <v>818</v>
      </c>
      <c r="H1748" s="6" t="s">
        <v>819</v>
      </c>
      <c r="I1748" s="6" t="s">
        <v>35</v>
      </c>
      <c r="J1748" s="6" t="s">
        <v>20</v>
      </c>
      <c r="K1748" s="7">
        <v>3.21</v>
      </c>
    </row>
    <row r="1749" spans="1:11" s="4" customFormat="1" ht="10.199999999999999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7"/>
    </row>
    <row r="1750" spans="1:11" s="4" customFormat="1" ht="10.199999999999999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7"/>
    </row>
    <row r="1751" spans="1:11" s="4" customFormat="1" ht="10.199999999999999" x14ac:dyDescent="0.2">
      <c r="A1751" s="6" t="str">
        <f>"0010950005"</f>
        <v>0010950005</v>
      </c>
      <c r="B1751" s="6" t="str">
        <f>"115642"</f>
        <v>115642</v>
      </c>
      <c r="C1751" s="6" t="s">
        <v>823</v>
      </c>
      <c r="D1751" s="6" t="s">
        <v>824</v>
      </c>
      <c r="E1751" s="6" t="s">
        <v>825</v>
      </c>
      <c r="F1751" s="6" t="s">
        <v>332</v>
      </c>
      <c r="G1751" s="6" t="s">
        <v>826</v>
      </c>
      <c r="H1751" s="6" t="s">
        <v>827</v>
      </c>
      <c r="I1751" s="6" t="s">
        <v>828</v>
      </c>
      <c r="J1751" s="6" t="s">
        <v>17</v>
      </c>
      <c r="K1751" s="7">
        <v>9.61</v>
      </c>
    </row>
    <row r="1752" spans="1:11" s="4" customFormat="1" ht="10.199999999999999" x14ac:dyDescent="0.2">
      <c r="A1752" s="6" t="str">
        <f>"0010950005"</f>
        <v>0010950005</v>
      </c>
      <c r="B1752" s="6" t="str">
        <f>"028895"</f>
        <v>028895</v>
      </c>
      <c r="C1752" s="6" t="s">
        <v>829</v>
      </c>
      <c r="D1752" s="6" t="s">
        <v>824</v>
      </c>
      <c r="E1752" s="6" t="s">
        <v>825</v>
      </c>
      <c r="F1752" s="6" t="s">
        <v>332</v>
      </c>
      <c r="G1752" s="6" t="s">
        <v>826</v>
      </c>
      <c r="H1752" s="6" t="s">
        <v>827</v>
      </c>
      <c r="I1752" s="6" t="s">
        <v>274</v>
      </c>
      <c r="J1752" s="6" t="s">
        <v>20</v>
      </c>
      <c r="K1752" s="7">
        <v>5.77</v>
      </c>
    </row>
    <row r="1753" spans="1:11" s="4" customFormat="1" ht="10.199999999999999" x14ac:dyDescent="0.2">
      <c r="A1753" s="6" t="str">
        <f>"0010950005"</f>
        <v>0010950005</v>
      </c>
      <c r="B1753" s="6" t="str">
        <f>"139316"</f>
        <v>139316</v>
      </c>
      <c r="C1753" s="6" t="s">
        <v>830</v>
      </c>
      <c r="D1753" s="6" t="s">
        <v>824</v>
      </c>
      <c r="E1753" s="6" t="s">
        <v>825</v>
      </c>
      <c r="F1753" s="6" t="s">
        <v>332</v>
      </c>
      <c r="G1753" s="6" t="s">
        <v>826</v>
      </c>
      <c r="H1753" s="6" t="s">
        <v>827</v>
      </c>
      <c r="I1753" s="6" t="s">
        <v>35</v>
      </c>
      <c r="J1753" s="6" t="s">
        <v>20</v>
      </c>
      <c r="K1753" s="7">
        <v>5.77</v>
      </c>
    </row>
    <row r="1754" spans="1:11" s="4" customFormat="1" ht="10.199999999999999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7"/>
    </row>
    <row r="1755" spans="1:11" s="4" customFormat="1" ht="10.199999999999999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7"/>
    </row>
    <row r="1756" spans="1:11" s="4" customFormat="1" ht="30.6" x14ac:dyDescent="0.2">
      <c r="A1756" s="6" t="str">
        <f>"0011180005"</f>
        <v>0011180005</v>
      </c>
      <c r="B1756" s="6" t="str">
        <f>"114447"</f>
        <v>114447</v>
      </c>
      <c r="C1756" s="6" t="s">
        <v>831</v>
      </c>
      <c r="D1756" s="6" t="s">
        <v>832</v>
      </c>
      <c r="E1756" s="6" t="s">
        <v>825</v>
      </c>
      <c r="F1756" s="6" t="s">
        <v>332</v>
      </c>
      <c r="G1756" s="6" t="s">
        <v>833</v>
      </c>
      <c r="H1756" s="6" t="s">
        <v>834</v>
      </c>
      <c r="I1756" s="6" t="s">
        <v>828</v>
      </c>
      <c r="J1756" s="6" t="s">
        <v>17</v>
      </c>
      <c r="K1756" s="7">
        <v>14.98</v>
      </c>
    </row>
    <row r="1757" spans="1:11" s="4" customFormat="1" ht="30.6" x14ac:dyDescent="0.2">
      <c r="A1757" s="6" t="str">
        <f>"0011180005"</f>
        <v>0011180005</v>
      </c>
      <c r="B1757" s="6" t="str">
        <f>"093811"</f>
        <v>093811</v>
      </c>
      <c r="C1757" s="6" t="s">
        <v>835</v>
      </c>
      <c r="D1757" s="6" t="s">
        <v>832</v>
      </c>
      <c r="E1757" s="6" t="s">
        <v>825</v>
      </c>
      <c r="F1757" s="6" t="s">
        <v>332</v>
      </c>
      <c r="G1757" s="6" t="s">
        <v>833</v>
      </c>
      <c r="H1757" s="6" t="s">
        <v>834</v>
      </c>
      <c r="I1757" s="6" t="s">
        <v>274</v>
      </c>
      <c r="J1757" s="6" t="s">
        <v>20</v>
      </c>
      <c r="K1757" s="7">
        <v>8.99</v>
      </c>
    </row>
    <row r="1758" spans="1:11" s="4" customFormat="1" ht="30.6" x14ac:dyDescent="0.2">
      <c r="A1758" s="6" t="str">
        <f>"0011180005"</f>
        <v>0011180005</v>
      </c>
      <c r="B1758" s="6" t="str">
        <f>"537953"</f>
        <v>537953</v>
      </c>
      <c r="C1758" s="6" t="s">
        <v>836</v>
      </c>
      <c r="D1758" s="6" t="s">
        <v>832</v>
      </c>
      <c r="E1758" s="6" t="s">
        <v>825</v>
      </c>
      <c r="F1758" s="6" t="s">
        <v>332</v>
      </c>
      <c r="G1758" s="6" t="s">
        <v>833</v>
      </c>
      <c r="H1758" s="6" t="s">
        <v>834</v>
      </c>
      <c r="I1758" s="6" t="s">
        <v>65</v>
      </c>
      <c r="J1758" s="6" t="s">
        <v>20</v>
      </c>
      <c r="K1758" s="7">
        <v>8.99</v>
      </c>
    </row>
    <row r="1759" spans="1:11" s="4" customFormat="1" ht="30.6" x14ac:dyDescent="0.2">
      <c r="A1759" s="6" t="str">
        <f>"0011180005"</f>
        <v>0011180005</v>
      </c>
      <c r="B1759" s="6" t="str">
        <f>"545135"</f>
        <v>545135</v>
      </c>
      <c r="C1759" s="6" t="s">
        <v>837</v>
      </c>
      <c r="D1759" s="6" t="s">
        <v>832</v>
      </c>
      <c r="E1759" s="6" t="s">
        <v>825</v>
      </c>
      <c r="F1759" s="6" t="s">
        <v>332</v>
      </c>
      <c r="G1759" s="6" t="s">
        <v>833</v>
      </c>
      <c r="H1759" s="6" t="s">
        <v>834</v>
      </c>
      <c r="I1759" s="6" t="s">
        <v>35</v>
      </c>
      <c r="J1759" s="6" t="s">
        <v>20</v>
      </c>
      <c r="K1759" s="7">
        <v>8.99</v>
      </c>
    </row>
    <row r="1760" spans="1:11" s="4" customFormat="1" ht="30.6" x14ac:dyDescent="0.2">
      <c r="A1760" s="6" t="str">
        <f>"0011180005"</f>
        <v>0011180005</v>
      </c>
      <c r="B1760" s="6" t="str">
        <f>"109562"</f>
        <v>109562</v>
      </c>
      <c r="C1760" s="6" t="s">
        <v>838</v>
      </c>
      <c r="D1760" s="6" t="s">
        <v>832</v>
      </c>
      <c r="E1760" s="6" t="s">
        <v>825</v>
      </c>
      <c r="F1760" s="6" t="s">
        <v>332</v>
      </c>
      <c r="G1760" s="6" t="s">
        <v>833</v>
      </c>
      <c r="H1760" s="6" t="s">
        <v>834</v>
      </c>
      <c r="I1760" s="6" t="s">
        <v>37</v>
      </c>
      <c r="J1760" s="6" t="s">
        <v>20</v>
      </c>
      <c r="K1760" s="7">
        <v>8.99</v>
      </c>
    </row>
    <row r="1761" spans="1:11" s="4" customFormat="1" ht="10.199999999999999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7"/>
    </row>
    <row r="1762" spans="1:11" s="4" customFormat="1" ht="10.199999999999999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7"/>
    </row>
    <row r="1763" spans="1:11" s="4" customFormat="1" ht="30.6" x14ac:dyDescent="0.2">
      <c r="A1763" s="6" t="str">
        <f>"0012370025"</f>
        <v>0012370025</v>
      </c>
      <c r="B1763" s="6" t="str">
        <f>"004931"</f>
        <v>004931</v>
      </c>
      <c r="C1763" s="6" t="s">
        <v>839</v>
      </c>
      <c r="D1763" s="6" t="s">
        <v>840</v>
      </c>
      <c r="E1763" s="6" t="s">
        <v>825</v>
      </c>
      <c r="F1763" s="6" t="s">
        <v>841</v>
      </c>
      <c r="G1763" s="6" t="s">
        <v>833</v>
      </c>
      <c r="H1763" s="6" t="s">
        <v>834</v>
      </c>
      <c r="I1763" s="6" t="s">
        <v>375</v>
      </c>
      <c r="J1763" s="6" t="s">
        <v>17</v>
      </c>
      <c r="K1763" s="7">
        <v>17.899999999999999</v>
      </c>
    </row>
    <row r="1764" spans="1:11" s="4" customFormat="1" ht="30.6" x14ac:dyDescent="0.2">
      <c r="A1764" s="6" t="str">
        <f>"0012370025"</f>
        <v>0012370025</v>
      </c>
      <c r="B1764" s="6" t="str">
        <f>"557039"</f>
        <v>557039</v>
      </c>
      <c r="C1764" s="6" t="s">
        <v>842</v>
      </c>
      <c r="D1764" s="6" t="s">
        <v>843</v>
      </c>
      <c r="E1764" s="6" t="s">
        <v>825</v>
      </c>
      <c r="F1764" s="6" t="s">
        <v>841</v>
      </c>
      <c r="G1764" s="6" t="s">
        <v>833</v>
      </c>
      <c r="H1764" s="6" t="s">
        <v>834</v>
      </c>
      <c r="I1764" s="6" t="s">
        <v>375</v>
      </c>
      <c r="J1764" s="6" t="s">
        <v>20</v>
      </c>
      <c r="K1764" s="7">
        <v>11.58</v>
      </c>
    </row>
    <row r="1765" spans="1:11" s="4" customFormat="1" ht="30.6" x14ac:dyDescent="0.2">
      <c r="A1765" s="6" t="str">
        <f>"0012370025"</f>
        <v>0012370025</v>
      </c>
      <c r="B1765" s="6" t="str">
        <f>"588224"</f>
        <v>588224</v>
      </c>
      <c r="C1765" s="6" t="s">
        <v>844</v>
      </c>
      <c r="D1765" s="6" t="s">
        <v>843</v>
      </c>
      <c r="E1765" s="6" t="s">
        <v>825</v>
      </c>
      <c r="F1765" s="6" t="s">
        <v>841</v>
      </c>
      <c r="G1765" s="6" t="s">
        <v>833</v>
      </c>
      <c r="H1765" s="6" t="s">
        <v>834</v>
      </c>
      <c r="I1765" s="6" t="s">
        <v>37</v>
      </c>
      <c r="J1765" s="6" t="s">
        <v>20</v>
      </c>
      <c r="K1765" s="7">
        <v>11.58</v>
      </c>
    </row>
    <row r="1766" spans="1:11" s="4" customFormat="1" ht="10.199999999999999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7"/>
    </row>
    <row r="1767" spans="1:11" s="4" customFormat="1" ht="10.199999999999999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7"/>
    </row>
    <row r="1768" spans="1:11" s="4" customFormat="1" ht="30.6" x14ac:dyDescent="0.2">
      <c r="A1768" s="6" t="str">
        <f>"0012370075"</f>
        <v>0012370075</v>
      </c>
      <c r="B1768" s="6" t="str">
        <f>"005064"</f>
        <v>005064</v>
      </c>
      <c r="C1768" s="6" t="s">
        <v>839</v>
      </c>
      <c r="D1768" s="6" t="s">
        <v>840</v>
      </c>
      <c r="E1768" s="6" t="s">
        <v>825</v>
      </c>
      <c r="F1768" s="6" t="s">
        <v>845</v>
      </c>
      <c r="G1768" s="6" t="s">
        <v>833</v>
      </c>
      <c r="H1768" s="6" t="s">
        <v>834</v>
      </c>
      <c r="I1768" s="6" t="s">
        <v>375</v>
      </c>
      <c r="J1768" s="6" t="s">
        <v>17</v>
      </c>
      <c r="K1768" s="7">
        <v>53.7</v>
      </c>
    </row>
    <row r="1769" spans="1:11" s="4" customFormat="1" ht="30.6" x14ac:dyDescent="0.2">
      <c r="A1769" s="6" t="str">
        <f>"0012370075"</f>
        <v>0012370075</v>
      </c>
      <c r="B1769" s="6" t="str">
        <f>"074174"</f>
        <v>074174</v>
      </c>
      <c r="C1769" s="6" t="s">
        <v>842</v>
      </c>
      <c r="D1769" s="6" t="s">
        <v>843</v>
      </c>
      <c r="E1769" s="6" t="s">
        <v>825</v>
      </c>
      <c r="F1769" s="6" t="s">
        <v>845</v>
      </c>
      <c r="G1769" s="6" t="s">
        <v>833</v>
      </c>
      <c r="H1769" s="6" t="s">
        <v>834</v>
      </c>
      <c r="I1769" s="6" t="s">
        <v>375</v>
      </c>
      <c r="J1769" s="6" t="s">
        <v>20</v>
      </c>
      <c r="K1769" s="7">
        <v>34.74</v>
      </c>
    </row>
    <row r="1770" spans="1:11" s="4" customFormat="1" ht="30.6" x14ac:dyDescent="0.2">
      <c r="A1770" s="6" t="str">
        <f>"0012370075"</f>
        <v>0012370075</v>
      </c>
      <c r="B1770" s="6" t="str">
        <f>"120427"</f>
        <v>120427</v>
      </c>
      <c r="C1770" s="6" t="s">
        <v>844</v>
      </c>
      <c r="D1770" s="6" t="s">
        <v>843</v>
      </c>
      <c r="E1770" s="6" t="s">
        <v>825</v>
      </c>
      <c r="F1770" s="6" t="s">
        <v>845</v>
      </c>
      <c r="G1770" s="6" t="s">
        <v>833</v>
      </c>
      <c r="H1770" s="6" t="s">
        <v>834</v>
      </c>
      <c r="I1770" s="6" t="s">
        <v>37</v>
      </c>
      <c r="J1770" s="6" t="s">
        <v>20</v>
      </c>
      <c r="K1770" s="7">
        <v>34.74</v>
      </c>
    </row>
    <row r="1771" spans="1:11" s="4" customFormat="1" ht="30.6" x14ac:dyDescent="0.2">
      <c r="A1771" s="6" t="str">
        <f>"0012370075"</f>
        <v>0012370075</v>
      </c>
      <c r="B1771" s="6" t="str">
        <f>"149437"</f>
        <v>149437</v>
      </c>
      <c r="C1771" s="6" t="s">
        <v>846</v>
      </c>
      <c r="D1771" s="6" t="s">
        <v>843</v>
      </c>
      <c r="E1771" s="6" t="s">
        <v>825</v>
      </c>
      <c r="F1771" s="6" t="s">
        <v>845</v>
      </c>
      <c r="G1771" s="6" t="s">
        <v>833</v>
      </c>
      <c r="H1771" s="6" t="s">
        <v>834</v>
      </c>
      <c r="I1771" s="6" t="s">
        <v>65</v>
      </c>
      <c r="J1771" s="6" t="s">
        <v>20</v>
      </c>
      <c r="K1771" s="7">
        <v>34.74</v>
      </c>
    </row>
    <row r="1772" spans="1:11" s="4" customFormat="1" ht="10.199999999999999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7"/>
    </row>
    <row r="1773" spans="1:11" s="4" customFormat="1" ht="10.199999999999999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7"/>
    </row>
    <row r="1774" spans="1:11" s="4" customFormat="1" ht="10.199999999999999" x14ac:dyDescent="0.2">
      <c r="A1774" s="6" t="str">
        <f>"0006730025"</f>
        <v>0006730025</v>
      </c>
      <c r="B1774" s="6" t="str">
        <f>"124735"</f>
        <v>124735</v>
      </c>
      <c r="C1774" s="6" t="s">
        <v>847</v>
      </c>
      <c r="D1774" s="6" t="s">
        <v>848</v>
      </c>
      <c r="E1774" s="6" t="s">
        <v>825</v>
      </c>
      <c r="F1774" s="6" t="s">
        <v>841</v>
      </c>
      <c r="G1774" s="6" t="s">
        <v>849</v>
      </c>
      <c r="H1774" s="6" t="s">
        <v>850</v>
      </c>
      <c r="I1774" s="6" t="s">
        <v>375</v>
      </c>
      <c r="J1774" s="6" t="s">
        <v>17</v>
      </c>
      <c r="K1774" s="7">
        <v>15.49</v>
      </c>
    </row>
    <row r="1775" spans="1:11" s="4" customFormat="1" ht="10.199999999999999" x14ac:dyDescent="0.2">
      <c r="A1775" s="6" t="str">
        <f>"0006730025"</f>
        <v>0006730025</v>
      </c>
      <c r="B1775" s="6" t="str">
        <f>"034999"</f>
        <v>034999</v>
      </c>
      <c r="C1775" s="6" t="s">
        <v>851</v>
      </c>
      <c r="D1775" s="6" t="s">
        <v>848</v>
      </c>
      <c r="E1775" s="6" t="s">
        <v>825</v>
      </c>
      <c r="F1775" s="6" t="s">
        <v>841</v>
      </c>
      <c r="G1775" s="6" t="s">
        <v>849</v>
      </c>
      <c r="H1775" s="6" t="s">
        <v>850</v>
      </c>
      <c r="I1775" s="6" t="s">
        <v>19</v>
      </c>
      <c r="J1775" s="6" t="s">
        <v>20</v>
      </c>
      <c r="K1775" s="7">
        <v>9.2899999999999991</v>
      </c>
    </row>
    <row r="1776" spans="1:11" s="4" customFormat="1" ht="10.199999999999999" x14ac:dyDescent="0.2">
      <c r="A1776" s="6" t="str">
        <f>"0006730025"</f>
        <v>0006730025</v>
      </c>
      <c r="B1776" s="6" t="str">
        <f>"166809"</f>
        <v>166809</v>
      </c>
      <c r="C1776" s="6" t="s">
        <v>852</v>
      </c>
      <c r="D1776" s="6" t="s">
        <v>848</v>
      </c>
      <c r="E1776" s="6" t="s">
        <v>825</v>
      </c>
      <c r="F1776" s="6" t="s">
        <v>841</v>
      </c>
      <c r="G1776" s="6" t="s">
        <v>849</v>
      </c>
      <c r="H1776" s="6" t="s">
        <v>850</v>
      </c>
      <c r="I1776" s="6" t="s">
        <v>375</v>
      </c>
      <c r="J1776" s="6" t="s">
        <v>20</v>
      </c>
      <c r="K1776" s="7">
        <v>9.2899999999999991</v>
      </c>
    </row>
    <row r="1777" spans="1:11" s="4" customFormat="1" ht="10.199999999999999" x14ac:dyDescent="0.2">
      <c r="A1777" s="6" t="str">
        <f>"0006730025"</f>
        <v>0006730025</v>
      </c>
      <c r="B1777" s="6" t="str">
        <f>"549132"</f>
        <v>549132</v>
      </c>
      <c r="C1777" s="6" t="s">
        <v>853</v>
      </c>
      <c r="D1777" s="6" t="s">
        <v>848</v>
      </c>
      <c r="E1777" s="6" t="s">
        <v>825</v>
      </c>
      <c r="F1777" s="6" t="s">
        <v>841</v>
      </c>
      <c r="G1777" s="6" t="s">
        <v>849</v>
      </c>
      <c r="H1777" s="6" t="s">
        <v>850</v>
      </c>
      <c r="I1777" s="6" t="s">
        <v>37</v>
      </c>
      <c r="J1777" s="6" t="s">
        <v>20</v>
      </c>
      <c r="K1777" s="7">
        <v>9.2899999999999991</v>
      </c>
    </row>
    <row r="1778" spans="1:11" s="4" customFormat="1" ht="10.199999999999999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7"/>
    </row>
    <row r="1779" spans="1:11" s="4" customFormat="1" ht="10.199999999999999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7"/>
    </row>
    <row r="1780" spans="1:11" s="4" customFormat="1" ht="20.399999999999999" x14ac:dyDescent="0.2">
      <c r="A1780" s="6" t="str">
        <f>"0006730075"</f>
        <v>0006730075</v>
      </c>
      <c r="B1780" s="6" t="str">
        <f>"124743"</f>
        <v>124743</v>
      </c>
      <c r="C1780" s="6" t="s">
        <v>847</v>
      </c>
      <c r="D1780" s="6" t="s">
        <v>848</v>
      </c>
      <c r="E1780" s="6" t="s">
        <v>825</v>
      </c>
      <c r="F1780" s="6" t="s">
        <v>845</v>
      </c>
      <c r="G1780" s="6" t="s">
        <v>849</v>
      </c>
      <c r="H1780" s="6" t="s">
        <v>850</v>
      </c>
      <c r="I1780" s="6" t="s">
        <v>375</v>
      </c>
      <c r="J1780" s="6" t="s">
        <v>17</v>
      </c>
      <c r="K1780" s="7">
        <v>45.06</v>
      </c>
    </row>
    <row r="1781" spans="1:11" s="4" customFormat="1" ht="20.399999999999999" x14ac:dyDescent="0.2">
      <c r="A1781" s="6" t="str">
        <f>"0006730075"</f>
        <v>0006730075</v>
      </c>
      <c r="B1781" s="6" t="str">
        <f>"035010"</f>
        <v>035010</v>
      </c>
      <c r="C1781" s="6" t="s">
        <v>851</v>
      </c>
      <c r="D1781" s="6" t="s">
        <v>848</v>
      </c>
      <c r="E1781" s="6" t="s">
        <v>825</v>
      </c>
      <c r="F1781" s="6" t="s">
        <v>845</v>
      </c>
      <c r="G1781" s="6" t="s">
        <v>849</v>
      </c>
      <c r="H1781" s="6" t="s">
        <v>850</v>
      </c>
      <c r="I1781" s="6" t="s">
        <v>19</v>
      </c>
      <c r="J1781" s="6" t="s">
        <v>20</v>
      </c>
      <c r="K1781" s="7">
        <v>27.04</v>
      </c>
    </row>
    <row r="1782" spans="1:11" s="4" customFormat="1" ht="20.399999999999999" x14ac:dyDescent="0.2">
      <c r="A1782" s="6" t="str">
        <f>"0006730075"</f>
        <v>0006730075</v>
      </c>
      <c r="B1782" s="6" t="str">
        <f>"107109"</f>
        <v>107109</v>
      </c>
      <c r="C1782" s="6" t="s">
        <v>852</v>
      </c>
      <c r="D1782" s="6" t="s">
        <v>848</v>
      </c>
      <c r="E1782" s="6" t="s">
        <v>825</v>
      </c>
      <c r="F1782" s="6" t="s">
        <v>845</v>
      </c>
      <c r="G1782" s="6" t="s">
        <v>849</v>
      </c>
      <c r="H1782" s="6" t="s">
        <v>850</v>
      </c>
      <c r="I1782" s="6" t="s">
        <v>375</v>
      </c>
      <c r="J1782" s="6" t="s">
        <v>20</v>
      </c>
      <c r="K1782" s="7">
        <v>27.04</v>
      </c>
    </row>
    <row r="1783" spans="1:11" s="4" customFormat="1" ht="20.399999999999999" x14ac:dyDescent="0.2">
      <c r="A1783" s="6" t="str">
        <f>"0006730075"</f>
        <v>0006730075</v>
      </c>
      <c r="B1783" s="6" t="str">
        <f>"535976"</f>
        <v>535976</v>
      </c>
      <c r="C1783" s="6" t="s">
        <v>854</v>
      </c>
      <c r="D1783" s="6" t="s">
        <v>848</v>
      </c>
      <c r="E1783" s="6" t="s">
        <v>825</v>
      </c>
      <c r="F1783" s="6" t="s">
        <v>845</v>
      </c>
      <c r="G1783" s="6" t="s">
        <v>849</v>
      </c>
      <c r="H1783" s="6" t="s">
        <v>850</v>
      </c>
      <c r="I1783" s="6" t="s">
        <v>65</v>
      </c>
      <c r="J1783" s="6" t="s">
        <v>20</v>
      </c>
      <c r="K1783" s="7">
        <v>27.04</v>
      </c>
    </row>
    <row r="1784" spans="1:11" s="4" customFormat="1" ht="20.399999999999999" x14ac:dyDescent="0.2">
      <c r="A1784" s="6" t="str">
        <f>"0006730075"</f>
        <v>0006730075</v>
      </c>
      <c r="B1784" s="6" t="str">
        <f>"565924"</f>
        <v>565924</v>
      </c>
      <c r="C1784" s="6" t="s">
        <v>853</v>
      </c>
      <c r="D1784" s="6" t="s">
        <v>848</v>
      </c>
      <c r="E1784" s="6" t="s">
        <v>825</v>
      </c>
      <c r="F1784" s="6" t="s">
        <v>845</v>
      </c>
      <c r="G1784" s="6" t="s">
        <v>849</v>
      </c>
      <c r="H1784" s="6" t="s">
        <v>850</v>
      </c>
      <c r="I1784" s="6" t="s">
        <v>37</v>
      </c>
      <c r="J1784" s="6" t="s">
        <v>20</v>
      </c>
      <c r="K1784" s="7">
        <v>27.04</v>
      </c>
    </row>
    <row r="1785" spans="1:11" s="4" customFormat="1" ht="10.199999999999999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7"/>
    </row>
    <row r="1786" spans="1:11" s="4" customFormat="1" ht="10.199999999999999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7"/>
    </row>
    <row r="1787" spans="1:11" s="4" customFormat="1" ht="20.399999999999999" x14ac:dyDescent="0.2">
      <c r="A1787" s="6" t="str">
        <f>"0013620003"</f>
        <v>0013620003</v>
      </c>
      <c r="B1787" s="6" t="str">
        <f>"007275"</f>
        <v>007275</v>
      </c>
      <c r="C1787" s="6" t="s">
        <v>855</v>
      </c>
      <c r="D1787" s="6" t="s">
        <v>856</v>
      </c>
      <c r="E1787" s="6" t="s">
        <v>825</v>
      </c>
      <c r="F1787" s="6" t="s">
        <v>857</v>
      </c>
      <c r="G1787" s="6" t="s">
        <v>858</v>
      </c>
      <c r="H1787" s="6" t="s">
        <v>859</v>
      </c>
      <c r="I1787" s="6" t="s">
        <v>860</v>
      </c>
      <c r="J1787" s="6" t="s">
        <v>17</v>
      </c>
      <c r="K1787" s="7">
        <v>12.32</v>
      </c>
    </row>
    <row r="1788" spans="1:11" s="4" customFormat="1" ht="10.199999999999999" x14ac:dyDescent="0.2">
      <c r="A1788" s="6" t="str">
        <f>"0013620003"</f>
        <v>0013620003</v>
      </c>
      <c r="B1788" s="6" t="str">
        <f>"166135"</f>
        <v>166135</v>
      </c>
      <c r="C1788" s="6" t="s">
        <v>861</v>
      </c>
      <c r="D1788" s="6" t="s">
        <v>856</v>
      </c>
      <c r="E1788" s="6" t="s">
        <v>825</v>
      </c>
      <c r="F1788" s="6" t="s">
        <v>857</v>
      </c>
      <c r="G1788" s="6" t="s">
        <v>858</v>
      </c>
      <c r="H1788" s="6" t="s">
        <v>859</v>
      </c>
      <c r="I1788" s="6" t="s">
        <v>37</v>
      </c>
      <c r="J1788" s="6" t="s">
        <v>20</v>
      </c>
      <c r="K1788" s="7">
        <v>7.39</v>
      </c>
    </row>
    <row r="1789" spans="1:11" s="4" customFormat="1" ht="10.199999999999999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7"/>
    </row>
    <row r="1790" spans="1:11" s="4" customFormat="1" ht="10.199999999999999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7"/>
    </row>
    <row r="1791" spans="1:11" s="4" customFormat="1" ht="20.399999999999999" x14ac:dyDescent="0.2">
      <c r="A1791" s="6" t="str">
        <f>"0013620009"</f>
        <v>0013620009</v>
      </c>
      <c r="B1791" s="6" t="str">
        <f>"010706"</f>
        <v>010706</v>
      </c>
      <c r="C1791" s="6" t="s">
        <v>855</v>
      </c>
      <c r="D1791" s="6" t="s">
        <v>856</v>
      </c>
      <c r="E1791" s="6" t="s">
        <v>825</v>
      </c>
      <c r="F1791" s="6" t="s">
        <v>862</v>
      </c>
      <c r="G1791" s="6" t="s">
        <v>858</v>
      </c>
      <c r="H1791" s="6" t="s">
        <v>859</v>
      </c>
      <c r="I1791" s="6" t="s">
        <v>860</v>
      </c>
      <c r="J1791" s="6" t="s">
        <v>17</v>
      </c>
      <c r="K1791" s="7">
        <v>35.83</v>
      </c>
    </row>
    <row r="1792" spans="1:11" s="4" customFormat="1" ht="10.199999999999999" x14ac:dyDescent="0.2">
      <c r="A1792" s="6" t="str">
        <f>"0013620009"</f>
        <v>0013620009</v>
      </c>
      <c r="B1792" s="6" t="str">
        <f>"163474"</f>
        <v>163474</v>
      </c>
      <c r="C1792" s="6" t="s">
        <v>855</v>
      </c>
      <c r="D1792" s="6" t="s">
        <v>856</v>
      </c>
      <c r="E1792" s="6" t="s">
        <v>825</v>
      </c>
      <c r="F1792" s="6" t="s">
        <v>862</v>
      </c>
      <c r="G1792" s="6" t="s">
        <v>858</v>
      </c>
      <c r="H1792" s="6" t="s">
        <v>859</v>
      </c>
      <c r="I1792" s="6" t="s">
        <v>86</v>
      </c>
      <c r="J1792" s="6" t="s">
        <v>87</v>
      </c>
      <c r="K1792" s="7">
        <v>35.83</v>
      </c>
    </row>
    <row r="1793" spans="1:11" s="4" customFormat="1" ht="10.199999999999999" x14ac:dyDescent="0.2">
      <c r="A1793" s="6" t="str">
        <f>"0013620009"</f>
        <v>0013620009</v>
      </c>
      <c r="B1793" s="6" t="str">
        <f>"543571"</f>
        <v>543571</v>
      </c>
      <c r="C1793" s="6" t="s">
        <v>861</v>
      </c>
      <c r="D1793" s="6" t="s">
        <v>856</v>
      </c>
      <c r="E1793" s="6" t="s">
        <v>825</v>
      </c>
      <c r="F1793" s="6" t="s">
        <v>862</v>
      </c>
      <c r="G1793" s="6" t="s">
        <v>858</v>
      </c>
      <c r="H1793" s="6" t="s">
        <v>859</v>
      </c>
      <c r="I1793" s="6" t="s">
        <v>37</v>
      </c>
      <c r="J1793" s="6" t="s">
        <v>20</v>
      </c>
      <c r="K1793" s="7">
        <v>21.5</v>
      </c>
    </row>
    <row r="1794" spans="1:11" s="4" customFormat="1" ht="10.199999999999999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7"/>
    </row>
    <row r="1795" spans="1:11" s="4" customFormat="1" ht="10.199999999999999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7"/>
    </row>
    <row r="1796" spans="1:11" s="4" customFormat="1" ht="20.399999999999999" x14ac:dyDescent="0.2">
      <c r="A1796" s="6" t="str">
        <f>"0005210060"</f>
        <v>0005210060</v>
      </c>
      <c r="B1796" s="6" t="str">
        <f>"001102"</f>
        <v>001102</v>
      </c>
      <c r="C1796" s="6" t="s">
        <v>863</v>
      </c>
      <c r="D1796" s="6" t="s">
        <v>446</v>
      </c>
      <c r="E1796" s="6" t="s">
        <v>864</v>
      </c>
      <c r="F1796" s="6" t="s">
        <v>865</v>
      </c>
      <c r="G1796" s="6" t="s">
        <v>866</v>
      </c>
      <c r="H1796" s="6" t="s">
        <v>867</v>
      </c>
      <c r="I1796" s="6" t="s">
        <v>441</v>
      </c>
      <c r="J1796" s="6" t="s">
        <v>17</v>
      </c>
      <c r="K1796" s="7">
        <v>13.92</v>
      </c>
    </row>
    <row r="1797" spans="1:11" s="4" customFormat="1" ht="20.399999999999999" x14ac:dyDescent="0.2">
      <c r="A1797" s="6" t="str">
        <f>"0005210060"</f>
        <v>0005210060</v>
      </c>
      <c r="B1797" s="6" t="str">
        <f>"012869"</f>
        <v>012869</v>
      </c>
      <c r="C1797" s="6" t="s">
        <v>868</v>
      </c>
      <c r="D1797" s="6" t="s">
        <v>446</v>
      </c>
      <c r="E1797" s="6" t="s">
        <v>864</v>
      </c>
      <c r="F1797" s="6" t="s">
        <v>869</v>
      </c>
      <c r="G1797" s="6" t="s">
        <v>866</v>
      </c>
      <c r="H1797" s="6" t="s">
        <v>867</v>
      </c>
      <c r="I1797" s="6" t="s">
        <v>828</v>
      </c>
      <c r="J1797" s="6" t="s">
        <v>20</v>
      </c>
      <c r="K1797" s="7">
        <v>12.64</v>
      </c>
    </row>
    <row r="1798" spans="1:11" s="4" customFormat="1" ht="10.199999999999999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7"/>
    </row>
    <row r="1799" spans="1:11" s="4" customFormat="1" ht="10.199999999999999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7"/>
    </row>
    <row r="1800" spans="1:11" s="4" customFormat="1" ht="10.199999999999999" x14ac:dyDescent="0.2">
      <c r="A1800" s="6" t="str">
        <f>"0013420180"</f>
        <v>0013420180</v>
      </c>
      <c r="B1800" s="6" t="str">
        <f>"036062"</f>
        <v>036062</v>
      </c>
      <c r="C1800" s="6" t="s">
        <v>870</v>
      </c>
      <c r="D1800" s="6" t="s">
        <v>871</v>
      </c>
      <c r="E1800" s="6" t="s">
        <v>13</v>
      </c>
      <c r="F1800" s="6">
        <v>180</v>
      </c>
      <c r="G1800" s="6" t="s">
        <v>872</v>
      </c>
      <c r="H1800" s="6" t="s">
        <v>873</v>
      </c>
      <c r="I1800" s="6" t="s">
        <v>874</v>
      </c>
      <c r="J1800" s="6" t="s">
        <v>17</v>
      </c>
      <c r="K1800" s="7">
        <v>175.75</v>
      </c>
    </row>
    <row r="1801" spans="1:11" s="4" customFormat="1" ht="10.199999999999999" x14ac:dyDescent="0.2">
      <c r="A1801" s="6" t="str">
        <f>"0013420180"</f>
        <v>0013420180</v>
      </c>
      <c r="B1801" s="6" t="str">
        <f>"084264"</f>
        <v>084264</v>
      </c>
      <c r="C1801" s="6" t="s">
        <v>870</v>
      </c>
      <c r="D1801" s="6" t="s">
        <v>871</v>
      </c>
      <c r="E1801" s="6" t="s">
        <v>13</v>
      </c>
      <c r="F1801" s="6">
        <v>180</v>
      </c>
      <c r="G1801" s="6" t="s">
        <v>872</v>
      </c>
      <c r="H1801" s="6" t="s">
        <v>873</v>
      </c>
      <c r="I1801" s="6" t="s">
        <v>86</v>
      </c>
      <c r="J1801" s="6" t="s">
        <v>87</v>
      </c>
      <c r="K1801" s="7">
        <v>175.75</v>
      </c>
    </row>
    <row r="1802" spans="1:11" s="4" customFormat="1" ht="10.199999999999999" x14ac:dyDescent="0.2">
      <c r="A1802" s="6" t="str">
        <f>"0013420180"</f>
        <v>0013420180</v>
      </c>
      <c r="B1802" s="6" t="str">
        <f>"459604"</f>
        <v>459604</v>
      </c>
      <c r="C1802" s="6" t="s">
        <v>875</v>
      </c>
      <c r="D1802" s="6" t="s">
        <v>871</v>
      </c>
      <c r="E1802" s="6" t="s">
        <v>13</v>
      </c>
      <c r="F1802" s="6">
        <v>180</v>
      </c>
      <c r="G1802" s="6" t="s">
        <v>872</v>
      </c>
      <c r="H1802" s="6" t="s">
        <v>873</v>
      </c>
      <c r="I1802" s="6" t="s">
        <v>409</v>
      </c>
      <c r="J1802" s="6" t="s">
        <v>20</v>
      </c>
      <c r="K1802" s="7">
        <v>105.45</v>
      </c>
    </row>
    <row r="1803" spans="1:11" s="4" customFormat="1" ht="10.199999999999999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7"/>
    </row>
    <row r="1804" spans="1:11" s="4" customFormat="1" ht="10.199999999999999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7"/>
    </row>
    <row r="1805" spans="1:11" s="4" customFormat="1" ht="10.199999999999999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7"/>
    </row>
  </sheetData>
  <pageMargins left="0.45" right="0.19685039370078741" top="0.82677165354330717" bottom="0.6692913385826772" header="0.31496062992125984" footer="0.31496062992125984"/>
  <pageSetup paperSize="9" orientation="landscape" verticalDpi="1200" r:id="rId1"/>
  <headerFooter>
    <oddHeader xml:space="preserve">&amp;L&amp;"Arial,Lihavoitu"LUETTELO VIITEHINTAJÄRJESTELMÄN ENIMMÄISTUKKUHINNAN ALENTAMISMENETTELYSSÄ ARVIOITAVISTA VIITEHINTARYHMISTÄ
VIITEHINTARYHMÄT, JOTKA OVAT OLLEET VOIMASSA ENNEN 1.1.2016  </oddHeader>
    <oddFooter>&amp;L&amp;8Lääkkeiden hintalautakunta 15.1.2016&amp;R&amp;8&amp;P(&amp;N)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Ennen 1.1.2016</vt:lpstr>
      <vt:lpstr>'Ennen 1.1.2016'!Tulostusotsikot</vt:lpstr>
    </vt:vector>
  </TitlesOfParts>
  <Company>VIP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stmukur</dc:creator>
  <cp:lastModifiedBy>stmukur</cp:lastModifiedBy>
  <cp:lastPrinted>2016-01-15T11:06:01Z</cp:lastPrinted>
  <dcterms:created xsi:type="dcterms:W3CDTF">2016-01-14T11:39:37Z</dcterms:created>
  <dcterms:modified xsi:type="dcterms:W3CDTF">2016-01-15T13:33:56Z</dcterms:modified>
</cp:coreProperties>
</file>