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3955" windowHeight="10290"/>
  </bookViews>
  <sheets>
    <sheet name="Taul1" sheetId="1" r:id="rId1"/>
    <sheet name="Taul2" sheetId="2" r:id="rId2"/>
    <sheet name="Taul3" sheetId="3" r:id="rId3"/>
  </sheets>
  <definedNames>
    <definedName name="_xlnm.Print_Titles" localSheetId="0">Taul1!$1:$4</definedName>
  </definedNames>
  <calcPr calcId="145621"/>
</workbook>
</file>

<file path=xl/calcChain.xml><?xml version="1.0" encoding="utf-8"?>
<calcChain xmlns="http://schemas.openxmlformats.org/spreadsheetml/2006/main">
  <c r="C2452" i="1" l="1"/>
  <c r="B2452" i="1"/>
  <c r="C2451" i="1"/>
  <c r="B2451" i="1"/>
  <c r="C2450" i="1"/>
  <c r="B2450" i="1"/>
  <c r="C2449" i="1"/>
  <c r="B2449" i="1"/>
  <c r="C2448" i="1"/>
  <c r="B2448" i="1"/>
  <c r="C2446" i="1"/>
  <c r="B2446" i="1"/>
  <c r="C2444" i="1"/>
  <c r="B2444" i="1"/>
  <c r="C2443" i="1"/>
  <c r="B2443" i="1"/>
  <c r="C2442" i="1"/>
  <c r="B2442" i="1"/>
  <c r="C2445" i="1"/>
  <c r="B2445" i="1"/>
  <c r="C2440" i="1"/>
  <c r="B2440" i="1"/>
  <c r="C2439" i="1"/>
  <c r="B2439" i="1"/>
  <c r="C2438" i="1"/>
  <c r="B2438" i="1"/>
  <c r="C2437" i="1"/>
  <c r="B2437" i="1"/>
  <c r="C2436" i="1"/>
  <c r="B2436" i="1"/>
  <c r="C2433" i="1"/>
  <c r="B2433" i="1"/>
  <c r="C2434" i="1"/>
  <c r="B2434" i="1"/>
  <c r="C2432" i="1"/>
  <c r="B2432" i="1"/>
  <c r="C2431" i="1"/>
  <c r="B2431" i="1"/>
  <c r="C2429" i="1"/>
  <c r="B2429" i="1"/>
  <c r="C2428" i="1"/>
  <c r="B2428" i="1"/>
  <c r="C2427" i="1"/>
  <c r="B2427" i="1"/>
  <c r="C2426" i="1"/>
  <c r="B2426" i="1"/>
  <c r="C2425" i="1"/>
  <c r="B2425" i="1"/>
  <c r="C342" i="1"/>
  <c r="B342" i="1"/>
  <c r="C341" i="1"/>
  <c r="B341" i="1"/>
  <c r="C339" i="1"/>
  <c r="B339" i="1"/>
  <c r="C338" i="1"/>
  <c r="B338" i="1"/>
  <c r="C1617" i="1"/>
  <c r="B1617" i="1"/>
  <c r="C1616" i="1"/>
  <c r="B1616" i="1"/>
  <c r="C1618" i="1"/>
  <c r="B1618" i="1"/>
  <c r="C1613" i="1"/>
  <c r="B1613" i="1"/>
  <c r="C1615" i="1"/>
  <c r="B1615" i="1"/>
  <c r="C1614" i="1"/>
  <c r="B1614" i="1"/>
  <c r="C1607" i="1"/>
  <c r="B1607" i="1"/>
  <c r="C1610" i="1"/>
  <c r="B1610" i="1"/>
  <c r="C1606" i="1"/>
  <c r="B1606" i="1"/>
  <c r="C1609" i="1"/>
  <c r="B1609" i="1"/>
  <c r="C1611" i="1"/>
  <c r="B1611" i="1"/>
  <c r="C1608" i="1"/>
  <c r="B1608" i="1"/>
  <c r="C1604" i="1"/>
  <c r="B1604" i="1"/>
  <c r="C1602" i="1"/>
  <c r="B1602" i="1"/>
  <c r="C1603" i="1"/>
  <c r="B1603" i="1"/>
  <c r="C1601" i="1"/>
  <c r="B1601" i="1"/>
  <c r="C1599" i="1"/>
  <c r="B1599" i="1"/>
  <c r="C1600" i="1"/>
  <c r="B1600" i="1"/>
  <c r="C3438" i="1"/>
  <c r="B3438" i="1"/>
  <c r="C3439" i="1"/>
  <c r="B3439" i="1"/>
  <c r="C3437" i="1"/>
  <c r="B3437" i="1"/>
  <c r="C3435" i="1"/>
  <c r="B3435" i="1"/>
  <c r="C3434" i="1"/>
  <c r="B3434" i="1"/>
  <c r="C3433" i="1"/>
  <c r="B3433" i="1"/>
  <c r="C1710" i="1"/>
  <c r="B1710" i="1"/>
  <c r="C1709" i="1"/>
  <c r="B1709" i="1"/>
  <c r="C1707" i="1"/>
  <c r="B1707" i="1"/>
  <c r="C1706" i="1"/>
  <c r="B1706" i="1"/>
  <c r="C336" i="1"/>
  <c r="B336" i="1"/>
  <c r="C2726" i="1"/>
  <c r="B2726" i="1"/>
  <c r="C2724" i="1"/>
  <c r="B2724" i="1"/>
  <c r="C2725" i="1"/>
  <c r="B2725" i="1"/>
  <c r="C2727" i="1"/>
  <c r="B2727" i="1"/>
  <c r="C2728" i="1"/>
  <c r="B2728" i="1"/>
  <c r="C2723" i="1"/>
  <c r="B2723" i="1"/>
  <c r="C2721" i="1"/>
  <c r="B2721" i="1"/>
  <c r="C2720" i="1"/>
  <c r="B2720" i="1"/>
  <c r="C2718" i="1"/>
  <c r="B2718" i="1"/>
  <c r="C2719" i="1"/>
  <c r="B2719" i="1"/>
  <c r="C2717" i="1"/>
  <c r="B2717" i="1"/>
  <c r="C2716" i="1"/>
  <c r="B2716" i="1"/>
  <c r="C3637" i="1"/>
  <c r="B3637" i="1"/>
  <c r="C3636" i="1"/>
  <c r="B3636" i="1"/>
  <c r="C3634" i="1"/>
  <c r="B3634" i="1"/>
  <c r="C3452" i="1"/>
  <c r="B3452" i="1"/>
  <c r="C3451" i="1"/>
  <c r="B3451" i="1"/>
  <c r="C3450" i="1"/>
  <c r="B3450" i="1"/>
  <c r="C3447" i="1"/>
  <c r="B3447" i="1"/>
  <c r="C3448" i="1"/>
  <c r="B3448" i="1"/>
  <c r="C3446" i="1"/>
  <c r="B3446" i="1"/>
  <c r="C3444" i="1"/>
  <c r="B3444" i="1"/>
  <c r="C3443" i="1"/>
  <c r="B3443" i="1"/>
  <c r="C3442" i="1"/>
  <c r="B3442" i="1"/>
  <c r="C2347" i="1"/>
  <c r="B2347" i="1"/>
  <c r="C2345" i="1"/>
  <c r="B2345" i="1"/>
  <c r="C2343" i="1"/>
  <c r="B2343" i="1"/>
  <c r="C2341" i="1"/>
  <c r="B2341" i="1"/>
  <c r="C2339" i="1"/>
  <c r="B2339" i="1"/>
  <c r="C2337" i="1"/>
  <c r="B2337" i="1"/>
  <c r="C2335" i="1"/>
  <c r="B2335" i="1"/>
  <c r="C2402" i="1"/>
  <c r="B2402" i="1"/>
  <c r="C2401" i="1"/>
  <c r="B2401" i="1"/>
  <c r="C2400" i="1"/>
  <c r="B2400" i="1"/>
  <c r="C2399" i="1"/>
  <c r="B2399" i="1"/>
  <c r="C2397" i="1"/>
  <c r="B2397" i="1"/>
  <c r="C2396" i="1"/>
  <c r="B2396" i="1"/>
  <c r="C2394" i="1"/>
  <c r="B2394" i="1"/>
  <c r="C2393" i="1"/>
  <c r="B2393" i="1"/>
  <c r="C2391" i="1"/>
  <c r="B2391" i="1"/>
  <c r="C2390" i="1"/>
  <c r="B2390" i="1"/>
  <c r="C2388" i="1"/>
  <c r="B2388" i="1"/>
  <c r="C2387" i="1"/>
  <c r="B2387" i="1"/>
  <c r="C2384" i="1"/>
  <c r="B2384" i="1"/>
  <c r="C2385" i="1"/>
  <c r="B2385" i="1"/>
  <c r="C2383" i="1"/>
  <c r="B2383" i="1"/>
  <c r="C2380" i="1"/>
  <c r="B2380" i="1"/>
  <c r="C2381" i="1"/>
  <c r="B2381" i="1"/>
  <c r="C2376" i="1"/>
  <c r="B2376" i="1"/>
  <c r="C2378" i="1"/>
  <c r="B2378" i="1"/>
  <c r="C2377" i="1"/>
  <c r="B2377" i="1"/>
  <c r="C2373" i="1"/>
  <c r="B2373" i="1"/>
  <c r="C2374" i="1"/>
  <c r="B2374" i="1"/>
  <c r="C2372" i="1"/>
  <c r="B2372" i="1"/>
  <c r="C2369" i="1"/>
  <c r="B2369" i="1"/>
  <c r="C2370" i="1"/>
  <c r="B2370" i="1"/>
  <c r="C2368" i="1"/>
  <c r="B2368" i="1"/>
  <c r="C2367" i="1"/>
  <c r="B2367" i="1"/>
  <c r="C2364" i="1"/>
  <c r="B2364" i="1"/>
  <c r="C2365" i="1"/>
  <c r="B2365" i="1"/>
  <c r="C2363" i="1"/>
  <c r="B2363" i="1"/>
  <c r="C2361" i="1"/>
  <c r="B2361" i="1"/>
  <c r="C2362" i="1"/>
  <c r="B2362" i="1"/>
  <c r="C2360" i="1"/>
  <c r="B2360" i="1"/>
  <c r="C2359" i="1"/>
  <c r="B2359" i="1"/>
  <c r="C2356" i="1"/>
  <c r="B2356" i="1"/>
  <c r="C2357" i="1"/>
  <c r="B2357" i="1"/>
  <c r="C2355" i="1"/>
  <c r="B2355" i="1"/>
  <c r="C2351" i="1"/>
  <c r="B2351" i="1"/>
  <c r="C2353" i="1"/>
  <c r="B2353" i="1"/>
  <c r="C2352" i="1"/>
  <c r="B2352" i="1"/>
  <c r="C2350" i="1"/>
  <c r="B2350" i="1"/>
  <c r="C1596" i="1"/>
  <c r="B1596" i="1"/>
  <c r="C3820" i="1"/>
  <c r="B3820" i="1"/>
  <c r="C3822" i="1"/>
  <c r="B3822" i="1"/>
  <c r="C3821" i="1"/>
  <c r="B3821" i="1"/>
  <c r="C3867" i="1"/>
  <c r="B3867" i="1"/>
  <c r="C3865" i="1"/>
  <c r="B3865" i="1"/>
  <c r="C2589" i="1"/>
  <c r="B2589" i="1"/>
  <c r="C2588" i="1"/>
  <c r="B2588" i="1"/>
  <c r="C2590" i="1"/>
  <c r="B2590" i="1"/>
  <c r="C2586" i="1"/>
  <c r="B2586" i="1"/>
  <c r="C2585" i="1"/>
  <c r="B2585" i="1"/>
  <c r="C1593" i="1"/>
  <c r="B1593" i="1"/>
  <c r="C1592" i="1"/>
  <c r="B1592" i="1"/>
  <c r="C1590" i="1"/>
  <c r="B1590" i="1"/>
  <c r="C1589" i="1"/>
  <c r="B1589" i="1"/>
  <c r="C1586" i="1"/>
  <c r="B1586" i="1"/>
  <c r="C1587" i="1"/>
  <c r="B1587" i="1"/>
  <c r="C1584" i="1"/>
  <c r="B1584" i="1"/>
  <c r="C1583" i="1"/>
  <c r="B1583" i="1"/>
  <c r="C3654" i="1"/>
  <c r="B3654" i="1"/>
  <c r="C3690" i="1"/>
  <c r="B3690" i="1"/>
  <c r="C3689" i="1"/>
  <c r="B3689" i="1"/>
  <c r="C2582" i="1"/>
  <c r="B2582" i="1"/>
  <c r="C2581" i="1"/>
  <c r="B2581" i="1"/>
  <c r="C2578" i="1"/>
  <c r="B2578" i="1"/>
  <c r="C2579" i="1"/>
  <c r="B2579" i="1"/>
  <c r="C838" i="1"/>
  <c r="B838" i="1"/>
  <c r="C836" i="1"/>
  <c r="B836" i="1"/>
  <c r="C834" i="1"/>
  <c r="B834" i="1"/>
  <c r="C832" i="1"/>
  <c r="B832" i="1"/>
  <c r="C2625" i="1"/>
  <c r="B2625" i="1"/>
  <c r="C2627" i="1"/>
  <c r="B2627" i="1"/>
  <c r="C2626" i="1"/>
  <c r="B2626" i="1"/>
  <c r="C1903" i="1"/>
  <c r="B1903" i="1"/>
  <c r="C1902" i="1"/>
  <c r="B1902" i="1"/>
  <c r="C1901" i="1"/>
  <c r="B1901" i="1"/>
  <c r="C1904" i="1"/>
  <c r="B1904" i="1"/>
  <c r="C1898" i="1"/>
  <c r="B1898" i="1"/>
  <c r="C1897" i="1"/>
  <c r="B1897" i="1"/>
  <c r="C1899" i="1"/>
  <c r="B1899" i="1"/>
  <c r="C1896" i="1"/>
  <c r="B1896" i="1"/>
  <c r="C1895" i="1"/>
  <c r="B1895" i="1"/>
  <c r="C3651" i="1"/>
  <c r="B3651" i="1"/>
  <c r="C3650" i="1"/>
  <c r="B3650" i="1"/>
  <c r="C1955" i="1"/>
  <c r="B1955" i="1"/>
  <c r="C1954" i="1"/>
  <c r="B1954" i="1"/>
  <c r="C1953" i="1"/>
  <c r="B1953" i="1"/>
  <c r="C1951" i="1"/>
  <c r="B1951" i="1"/>
  <c r="C1950" i="1"/>
  <c r="B1950" i="1"/>
  <c r="C1948" i="1"/>
  <c r="B1948" i="1"/>
  <c r="C1947" i="1"/>
  <c r="B1947" i="1"/>
  <c r="C1949" i="1"/>
  <c r="B1949" i="1"/>
  <c r="C1431" i="1"/>
  <c r="B1431" i="1"/>
  <c r="C1430" i="1"/>
  <c r="B1430" i="1"/>
  <c r="C1911" i="1"/>
  <c r="B1911" i="1"/>
  <c r="C1910" i="1"/>
  <c r="B1910" i="1"/>
  <c r="C1909" i="1"/>
  <c r="B1909" i="1"/>
  <c r="C1912" i="1"/>
  <c r="B1912" i="1"/>
  <c r="C1908" i="1"/>
  <c r="B1908" i="1"/>
  <c r="C1907" i="1"/>
  <c r="B1907" i="1"/>
  <c r="C427" i="1"/>
  <c r="B427" i="1"/>
  <c r="C428" i="1"/>
  <c r="B428" i="1"/>
  <c r="C1642" i="1"/>
  <c r="B1642" i="1"/>
  <c r="C1641" i="1"/>
  <c r="B1641" i="1"/>
  <c r="C3677" i="1"/>
  <c r="B3677" i="1"/>
  <c r="C3678" i="1"/>
  <c r="B3678" i="1"/>
  <c r="C3676" i="1"/>
  <c r="B3676" i="1"/>
  <c r="C3672" i="1"/>
  <c r="B3672" i="1"/>
  <c r="C3674" i="1"/>
  <c r="B3674" i="1"/>
  <c r="C3671" i="1"/>
  <c r="B3671" i="1"/>
  <c r="C3670" i="1"/>
  <c r="B3670" i="1"/>
  <c r="C3673" i="1"/>
  <c r="B3673" i="1"/>
  <c r="C333" i="1"/>
  <c r="B333" i="1"/>
  <c r="C3861" i="1"/>
  <c r="B3861" i="1"/>
  <c r="C3862" i="1"/>
  <c r="B3862" i="1"/>
  <c r="C3859" i="1"/>
  <c r="B3859" i="1"/>
  <c r="C3860" i="1"/>
  <c r="B3860" i="1"/>
  <c r="C3856" i="1"/>
  <c r="B3856" i="1"/>
  <c r="C3857" i="1"/>
  <c r="B3857" i="1"/>
  <c r="C3855" i="1"/>
  <c r="B3855" i="1"/>
  <c r="C2031" i="1"/>
  <c r="B2031" i="1"/>
  <c r="C2030" i="1"/>
  <c r="B2030" i="1"/>
  <c r="C2027" i="1"/>
  <c r="B2027" i="1"/>
  <c r="C2028" i="1"/>
  <c r="B2028" i="1"/>
  <c r="C2023" i="1"/>
  <c r="B2023" i="1"/>
  <c r="C2026" i="1"/>
  <c r="B2026" i="1"/>
  <c r="C2025" i="1"/>
  <c r="B2025" i="1"/>
  <c r="C2024" i="1"/>
  <c r="B2024" i="1"/>
  <c r="C3876" i="1"/>
  <c r="B3876" i="1"/>
  <c r="C3875" i="1"/>
  <c r="B3875" i="1"/>
  <c r="C3874" i="1"/>
  <c r="B3874" i="1"/>
  <c r="C2245" i="1"/>
  <c r="B2245" i="1"/>
  <c r="C2244" i="1"/>
  <c r="B2244" i="1"/>
  <c r="C2242" i="1"/>
  <c r="B2242" i="1"/>
  <c r="C2246" i="1"/>
  <c r="B2246" i="1"/>
  <c r="C2243" i="1"/>
  <c r="B2243" i="1"/>
  <c r="C2241" i="1"/>
  <c r="B2241" i="1"/>
  <c r="C2238" i="1"/>
  <c r="B2238" i="1"/>
  <c r="C2239" i="1"/>
  <c r="B2239" i="1"/>
  <c r="C2237" i="1"/>
  <c r="B2237" i="1"/>
  <c r="C2236" i="1"/>
  <c r="B2236" i="1"/>
  <c r="C2235" i="1"/>
  <c r="B2235" i="1"/>
  <c r="C2234" i="1"/>
  <c r="B2234" i="1"/>
  <c r="C2232" i="1"/>
  <c r="B2232" i="1"/>
  <c r="C2231" i="1"/>
  <c r="B2231" i="1"/>
  <c r="C2230" i="1"/>
  <c r="B2230" i="1"/>
  <c r="C2227" i="1"/>
  <c r="B2227" i="1"/>
  <c r="C2228" i="1"/>
  <c r="B2228" i="1"/>
  <c r="C2226" i="1"/>
  <c r="B2226" i="1"/>
  <c r="C2224" i="1"/>
  <c r="B2224" i="1"/>
  <c r="C2225" i="1"/>
  <c r="B2225" i="1"/>
  <c r="C2223" i="1"/>
  <c r="B2223" i="1"/>
  <c r="C2220" i="1"/>
  <c r="B2220" i="1"/>
  <c r="C2219" i="1"/>
  <c r="B2219" i="1"/>
  <c r="C2221" i="1"/>
  <c r="B2221" i="1"/>
  <c r="C2218" i="1"/>
  <c r="B2218" i="1"/>
  <c r="C2217" i="1"/>
  <c r="B2217" i="1"/>
  <c r="C2216" i="1"/>
  <c r="B2216" i="1"/>
  <c r="C1567" i="1"/>
  <c r="B1567" i="1"/>
  <c r="C1566" i="1"/>
  <c r="B1566" i="1"/>
  <c r="C1565" i="1"/>
  <c r="B1565" i="1"/>
  <c r="C1563" i="1"/>
  <c r="B1563" i="1"/>
  <c r="C1561" i="1"/>
  <c r="B1561" i="1"/>
  <c r="C1562" i="1"/>
  <c r="B1562" i="1"/>
  <c r="C1485" i="1"/>
  <c r="B1485" i="1"/>
  <c r="C1484" i="1"/>
  <c r="B1484" i="1"/>
  <c r="C1483" i="1"/>
  <c r="B1483" i="1"/>
  <c r="C1487" i="1"/>
  <c r="B1487" i="1"/>
  <c r="C1482" i="1"/>
  <c r="B1482" i="1"/>
  <c r="C1486" i="1"/>
  <c r="B1486" i="1"/>
  <c r="C1480" i="1"/>
  <c r="B1480" i="1"/>
  <c r="C1479" i="1"/>
  <c r="B1479" i="1"/>
  <c r="C1478" i="1"/>
  <c r="B1478" i="1"/>
  <c r="C1476" i="1"/>
  <c r="B1476" i="1"/>
  <c r="C1475" i="1"/>
  <c r="B1475" i="1"/>
  <c r="C1477" i="1"/>
  <c r="B1477" i="1"/>
  <c r="C2749" i="1"/>
  <c r="B2749" i="1"/>
  <c r="C2748" i="1"/>
  <c r="B2748" i="1"/>
  <c r="C2746" i="1"/>
  <c r="B2746" i="1"/>
  <c r="C2745" i="1"/>
  <c r="B2745" i="1"/>
  <c r="C2743" i="1"/>
  <c r="B2743" i="1"/>
  <c r="C2742" i="1"/>
  <c r="B2742" i="1"/>
  <c r="C2741" i="1"/>
  <c r="B2741" i="1"/>
  <c r="C2739" i="1"/>
  <c r="B2739" i="1"/>
  <c r="C2738" i="1"/>
  <c r="B2738" i="1"/>
  <c r="C2737" i="1"/>
  <c r="B2737" i="1"/>
  <c r="C2735" i="1"/>
  <c r="B2735" i="1"/>
  <c r="C2734" i="1"/>
  <c r="B2734" i="1"/>
  <c r="C2732" i="1"/>
  <c r="B2732" i="1"/>
  <c r="C2731" i="1"/>
  <c r="B2731" i="1"/>
  <c r="C53" i="1"/>
  <c r="B53" i="1"/>
  <c r="C52" i="1"/>
  <c r="B52" i="1"/>
  <c r="C51" i="1"/>
  <c r="B51" i="1"/>
  <c r="C54" i="1"/>
  <c r="B54" i="1"/>
  <c r="C49" i="1"/>
  <c r="B49" i="1"/>
  <c r="C47" i="1"/>
  <c r="B47" i="1"/>
  <c r="C46" i="1"/>
  <c r="B46" i="1"/>
  <c r="C45" i="1"/>
  <c r="B45" i="1"/>
  <c r="C42" i="1"/>
  <c r="B42" i="1"/>
  <c r="C43" i="1"/>
  <c r="B43" i="1"/>
  <c r="C41" i="1"/>
  <c r="B41" i="1"/>
  <c r="C39" i="1"/>
  <c r="B39" i="1"/>
  <c r="C36" i="1"/>
  <c r="B36" i="1"/>
  <c r="C37" i="1"/>
  <c r="B37" i="1"/>
  <c r="C35" i="1"/>
  <c r="B35" i="1"/>
  <c r="C32" i="1"/>
  <c r="B32" i="1"/>
  <c r="C33" i="1"/>
  <c r="B33" i="1"/>
  <c r="C29" i="1"/>
  <c r="B29" i="1"/>
  <c r="C30" i="1"/>
  <c r="B30" i="1"/>
  <c r="C2908" i="1"/>
  <c r="B2908" i="1"/>
  <c r="C2907" i="1"/>
  <c r="B2907" i="1"/>
  <c r="C2906" i="1"/>
  <c r="B2906" i="1"/>
  <c r="C2905" i="1"/>
  <c r="B2905" i="1"/>
  <c r="C2903" i="1"/>
  <c r="B2903" i="1"/>
  <c r="C2902" i="1"/>
  <c r="B2902" i="1"/>
  <c r="C2901" i="1"/>
  <c r="B2901" i="1"/>
  <c r="C2900" i="1"/>
  <c r="B2900" i="1"/>
  <c r="C2897" i="1"/>
  <c r="B2897" i="1"/>
  <c r="C2896" i="1"/>
  <c r="B2896" i="1"/>
  <c r="C2898" i="1"/>
  <c r="B2898" i="1"/>
  <c r="C2894" i="1"/>
  <c r="B2894" i="1"/>
  <c r="C2895" i="1"/>
  <c r="B2895" i="1"/>
  <c r="C2893" i="1"/>
  <c r="B2893" i="1"/>
  <c r="C2889" i="1"/>
  <c r="B2889" i="1"/>
  <c r="C2891" i="1"/>
  <c r="B2891" i="1"/>
  <c r="C2888" i="1"/>
  <c r="B2888" i="1"/>
  <c r="C2887" i="1"/>
  <c r="B2887" i="1"/>
  <c r="C2890" i="1"/>
  <c r="B2890" i="1"/>
  <c r="C2885" i="1"/>
  <c r="B2885" i="1"/>
  <c r="C2884" i="1"/>
  <c r="B2884" i="1"/>
  <c r="C2883" i="1"/>
  <c r="B2883" i="1"/>
  <c r="C2882" i="1"/>
  <c r="B2882" i="1"/>
  <c r="C138" i="1"/>
  <c r="B138" i="1"/>
  <c r="C137" i="1"/>
  <c r="B137" i="1"/>
  <c r="C134" i="1"/>
  <c r="B134" i="1"/>
  <c r="C135" i="1"/>
  <c r="B135" i="1"/>
  <c r="C132" i="1"/>
  <c r="B132" i="1"/>
  <c r="C131" i="1"/>
  <c r="B131" i="1"/>
  <c r="C129" i="1"/>
  <c r="B129" i="1"/>
  <c r="C128" i="1"/>
  <c r="B128" i="1"/>
  <c r="C126" i="1"/>
  <c r="B126" i="1"/>
  <c r="C125" i="1"/>
  <c r="B125" i="1"/>
  <c r="C123" i="1"/>
  <c r="B123" i="1"/>
  <c r="C122" i="1"/>
  <c r="B122" i="1"/>
  <c r="C3687" i="1"/>
  <c r="B3687" i="1"/>
  <c r="C3686" i="1"/>
  <c r="B3686" i="1"/>
  <c r="C2878" i="1"/>
  <c r="B2878" i="1"/>
  <c r="C2880" i="1"/>
  <c r="B2880" i="1"/>
  <c r="C2879" i="1"/>
  <c r="B2879" i="1"/>
  <c r="C2877" i="1"/>
  <c r="B2877" i="1"/>
  <c r="C2876" i="1"/>
  <c r="B2876" i="1"/>
  <c r="C2872" i="1"/>
  <c r="B2872" i="1"/>
  <c r="C2873" i="1"/>
  <c r="B2873" i="1"/>
  <c r="C2870" i="1"/>
  <c r="B2870" i="1"/>
  <c r="C2871" i="1"/>
  <c r="B2871" i="1"/>
  <c r="C2874" i="1"/>
  <c r="B2874" i="1"/>
  <c r="C2866" i="1"/>
  <c r="B2866" i="1"/>
  <c r="C2867" i="1"/>
  <c r="B2867" i="1"/>
  <c r="C2865" i="1"/>
  <c r="B2865" i="1"/>
  <c r="C2864" i="1"/>
  <c r="B2864" i="1"/>
  <c r="C2868" i="1"/>
  <c r="B2868" i="1"/>
  <c r="C2863" i="1"/>
  <c r="B2863" i="1"/>
  <c r="C2860" i="1"/>
  <c r="B2860" i="1"/>
  <c r="C2861" i="1"/>
  <c r="B2861" i="1"/>
  <c r="C2859" i="1"/>
  <c r="B2859" i="1"/>
  <c r="C2858" i="1"/>
  <c r="B2858" i="1"/>
  <c r="C2857" i="1"/>
  <c r="B2857" i="1"/>
  <c r="C1428" i="1"/>
  <c r="B1428" i="1"/>
  <c r="C1427" i="1"/>
  <c r="B1427" i="1"/>
  <c r="C1424" i="1"/>
  <c r="B1424" i="1"/>
  <c r="C1425" i="1"/>
  <c r="B1425" i="1"/>
  <c r="C3069" i="1"/>
  <c r="B3069" i="1"/>
  <c r="C3068" i="1"/>
  <c r="B3068" i="1"/>
  <c r="C3066" i="1"/>
  <c r="B3066" i="1"/>
  <c r="C3065" i="1"/>
  <c r="B3065" i="1"/>
  <c r="C3063" i="1"/>
  <c r="B3063" i="1"/>
  <c r="C3062" i="1"/>
  <c r="B3062" i="1"/>
  <c r="C3060" i="1"/>
  <c r="B3060" i="1"/>
  <c r="C3059" i="1"/>
  <c r="B3059" i="1"/>
  <c r="C3057" i="1"/>
  <c r="B3057" i="1"/>
  <c r="C3055" i="1"/>
  <c r="B3055" i="1"/>
  <c r="C299" i="1"/>
  <c r="B299" i="1"/>
  <c r="C296" i="1"/>
  <c r="B296" i="1"/>
  <c r="C297" i="1"/>
  <c r="B297" i="1"/>
  <c r="C294" i="1"/>
  <c r="B294" i="1"/>
  <c r="C293" i="1"/>
  <c r="B293" i="1"/>
  <c r="C2623" i="1"/>
  <c r="B2623" i="1"/>
  <c r="C2622" i="1"/>
  <c r="B2622" i="1"/>
  <c r="C2620" i="1"/>
  <c r="B2620" i="1"/>
  <c r="C2618" i="1"/>
  <c r="B2618" i="1"/>
  <c r="C2619" i="1"/>
  <c r="B2619" i="1"/>
  <c r="C2616" i="1"/>
  <c r="B2616" i="1"/>
  <c r="C2615" i="1"/>
  <c r="B2615" i="1"/>
  <c r="C1131" i="1"/>
  <c r="B1131" i="1"/>
  <c r="C1130" i="1"/>
  <c r="B1130" i="1"/>
  <c r="C1129" i="1"/>
  <c r="B1129" i="1"/>
  <c r="C1128" i="1"/>
  <c r="B1128" i="1"/>
  <c r="C1126" i="1"/>
  <c r="B1126" i="1"/>
  <c r="C1125" i="1"/>
  <c r="B1125" i="1"/>
  <c r="C1123" i="1"/>
  <c r="B1123" i="1"/>
  <c r="C1122" i="1"/>
  <c r="B1122" i="1"/>
  <c r="C1121" i="1"/>
  <c r="B1121" i="1"/>
  <c r="C1120" i="1"/>
  <c r="B1120" i="1"/>
  <c r="C1118" i="1"/>
  <c r="B1118" i="1"/>
  <c r="C1117" i="1"/>
  <c r="B1117" i="1"/>
  <c r="C2561" i="1"/>
  <c r="B2561" i="1"/>
  <c r="C2560" i="1"/>
  <c r="B2560" i="1"/>
  <c r="C2558" i="1"/>
  <c r="B2558" i="1"/>
  <c r="C2557" i="1"/>
  <c r="B2557" i="1"/>
  <c r="C3840" i="1"/>
  <c r="B3840" i="1"/>
  <c r="C3838" i="1"/>
  <c r="B3838" i="1"/>
  <c r="C3839" i="1"/>
  <c r="B3839" i="1"/>
  <c r="C3836" i="1"/>
  <c r="B3836" i="1"/>
  <c r="C3835" i="1"/>
  <c r="B3835" i="1"/>
  <c r="C3560" i="1"/>
  <c r="B3560" i="1"/>
  <c r="C3559" i="1"/>
  <c r="B3559" i="1"/>
  <c r="C3561" i="1"/>
  <c r="B3561" i="1"/>
  <c r="C3558" i="1"/>
  <c r="B3558" i="1"/>
  <c r="C3557" i="1"/>
  <c r="B3557" i="1"/>
  <c r="C3556" i="1"/>
  <c r="B3556" i="1"/>
  <c r="C3554" i="1"/>
  <c r="B3554" i="1"/>
  <c r="C3553" i="1"/>
  <c r="B3553" i="1"/>
  <c r="C3552" i="1"/>
  <c r="B3552" i="1"/>
  <c r="C3551" i="1"/>
  <c r="B3551" i="1"/>
  <c r="C3550" i="1"/>
  <c r="B3550" i="1"/>
  <c r="C3547" i="1"/>
  <c r="B3547" i="1"/>
  <c r="C3546" i="1"/>
  <c r="B3546" i="1"/>
  <c r="C3545" i="1"/>
  <c r="B3545" i="1"/>
  <c r="C3548" i="1"/>
  <c r="B3548" i="1"/>
  <c r="C3544" i="1"/>
  <c r="B3544" i="1"/>
  <c r="C3543" i="1"/>
  <c r="B3543" i="1"/>
  <c r="C3540" i="1"/>
  <c r="B3540" i="1"/>
  <c r="C3541" i="1"/>
  <c r="B3541" i="1"/>
  <c r="C3539" i="1"/>
  <c r="B3539" i="1"/>
  <c r="C3538" i="1"/>
  <c r="B3538" i="1"/>
  <c r="C3537" i="1"/>
  <c r="B3537" i="1"/>
  <c r="C3536" i="1"/>
  <c r="B3536" i="1"/>
  <c r="C3534" i="1"/>
  <c r="B3534" i="1"/>
  <c r="C3533" i="1"/>
  <c r="B3533" i="1"/>
  <c r="C3530" i="1"/>
  <c r="B3530" i="1"/>
  <c r="C3532" i="1"/>
  <c r="B3532" i="1"/>
  <c r="C3531" i="1"/>
  <c r="B3531" i="1"/>
  <c r="C3529" i="1"/>
  <c r="B3529" i="1"/>
  <c r="C2646" i="1"/>
  <c r="B2646" i="1"/>
  <c r="C2645" i="1"/>
  <c r="B2645" i="1"/>
  <c r="C2644" i="1"/>
  <c r="B2644" i="1"/>
  <c r="C2643" i="1"/>
  <c r="B2643" i="1"/>
  <c r="C2642" i="1"/>
  <c r="B2642" i="1"/>
  <c r="C2639" i="1"/>
  <c r="B2639" i="1"/>
  <c r="C2640" i="1"/>
  <c r="B2640" i="1"/>
  <c r="C2638" i="1"/>
  <c r="B2638" i="1"/>
  <c r="C2637" i="1"/>
  <c r="B2637" i="1"/>
  <c r="C2636" i="1"/>
  <c r="B2636" i="1"/>
  <c r="C2632" i="1"/>
  <c r="B2632" i="1"/>
  <c r="C2631" i="1"/>
  <c r="B2631" i="1"/>
  <c r="C2634" i="1"/>
  <c r="B2634" i="1"/>
  <c r="C2630" i="1"/>
  <c r="B2630" i="1"/>
  <c r="C2633" i="1"/>
  <c r="B2633" i="1"/>
  <c r="C1547" i="1"/>
  <c r="B1547" i="1"/>
  <c r="C1546" i="1"/>
  <c r="B1546" i="1"/>
  <c r="C1545" i="1"/>
  <c r="B1545" i="1"/>
  <c r="C1543" i="1"/>
  <c r="B1543" i="1"/>
  <c r="C1542" i="1"/>
  <c r="B1542" i="1"/>
  <c r="C3787" i="1"/>
  <c r="B3787" i="1"/>
  <c r="C3785" i="1"/>
  <c r="B3785" i="1"/>
  <c r="C3784" i="1"/>
  <c r="B3784" i="1"/>
  <c r="C3751" i="1"/>
  <c r="B3751" i="1"/>
  <c r="C3749" i="1"/>
  <c r="B3749" i="1"/>
  <c r="C3750" i="1"/>
  <c r="B3750" i="1"/>
  <c r="C1115" i="1"/>
  <c r="B1115" i="1"/>
  <c r="C1113" i="1"/>
  <c r="B1113" i="1"/>
  <c r="C2706" i="1"/>
  <c r="B2706" i="1"/>
  <c r="C2705" i="1"/>
  <c r="B2705" i="1"/>
  <c r="C2704" i="1"/>
  <c r="B2704" i="1"/>
  <c r="C2702" i="1"/>
  <c r="B2702" i="1"/>
  <c r="C2701" i="1"/>
  <c r="B2701" i="1"/>
  <c r="C2700" i="1"/>
  <c r="B2700" i="1"/>
  <c r="C2107" i="1"/>
  <c r="B2107" i="1"/>
  <c r="C2108" i="1"/>
  <c r="B2108" i="1"/>
  <c r="C2106" i="1"/>
  <c r="B2106" i="1"/>
  <c r="C2104" i="1"/>
  <c r="B2104" i="1"/>
  <c r="C2103" i="1"/>
  <c r="B2103" i="1"/>
  <c r="C2102" i="1"/>
  <c r="B2102" i="1"/>
  <c r="C2088" i="1"/>
  <c r="B2088" i="1"/>
  <c r="C2085" i="1"/>
  <c r="B2085" i="1"/>
  <c r="C2087" i="1"/>
  <c r="B2087" i="1"/>
  <c r="C2086" i="1"/>
  <c r="B2086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4" i="1"/>
  <c r="B984" i="1"/>
  <c r="C983" i="1"/>
  <c r="B983" i="1"/>
  <c r="C982" i="1"/>
  <c r="B982" i="1"/>
  <c r="C981" i="1"/>
  <c r="B981" i="1"/>
  <c r="C985" i="1"/>
  <c r="B985" i="1"/>
  <c r="C979" i="1"/>
  <c r="B979" i="1"/>
  <c r="C975" i="1"/>
  <c r="B975" i="1"/>
  <c r="C974" i="1"/>
  <c r="B974" i="1"/>
  <c r="C976" i="1"/>
  <c r="B976" i="1"/>
  <c r="C973" i="1"/>
  <c r="B973" i="1"/>
  <c r="C977" i="1"/>
  <c r="B977" i="1"/>
  <c r="C972" i="1"/>
  <c r="B972" i="1"/>
  <c r="C971" i="1"/>
  <c r="B971" i="1"/>
  <c r="C968" i="1"/>
  <c r="B968" i="1"/>
  <c r="C967" i="1"/>
  <c r="B967" i="1"/>
  <c r="C966" i="1"/>
  <c r="B966" i="1"/>
  <c r="C965" i="1"/>
  <c r="B965" i="1"/>
  <c r="C969" i="1"/>
  <c r="B969" i="1"/>
  <c r="C964" i="1"/>
  <c r="B964" i="1"/>
  <c r="C962" i="1"/>
  <c r="B962" i="1"/>
  <c r="C959" i="1"/>
  <c r="B959" i="1"/>
  <c r="C960" i="1"/>
  <c r="B960" i="1"/>
  <c r="C958" i="1"/>
  <c r="B958" i="1"/>
  <c r="C957" i="1"/>
  <c r="B957" i="1"/>
  <c r="C956" i="1"/>
  <c r="B956" i="1"/>
  <c r="C955" i="1"/>
  <c r="B955" i="1"/>
  <c r="C953" i="1"/>
  <c r="B953" i="1"/>
  <c r="C954" i="1"/>
  <c r="B954" i="1"/>
  <c r="C950" i="1"/>
  <c r="B950" i="1"/>
  <c r="C949" i="1"/>
  <c r="B949" i="1"/>
  <c r="C948" i="1"/>
  <c r="B948" i="1"/>
  <c r="C947" i="1"/>
  <c r="B947" i="1"/>
  <c r="C946" i="1"/>
  <c r="B946" i="1"/>
  <c r="C951" i="1"/>
  <c r="B951" i="1"/>
  <c r="C945" i="1"/>
  <c r="B945" i="1"/>
  <c r="C943" i="1"/>
  <c r="B943" i="1"/>
  <c r="C941" i="1"/>
  <c r="B941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40" i="1"/>
  <c r="B940" i="1"/>
  <c r="C933" i="1"/>
  <c r="B933" i="1"/>
  <c r="C932" i="1"/>
  <c r="B932" i="1"/>
  <c r="C931" i="1"/>
  <c r="B931" i="1"/>
  <c r="C930" i="1"/>
  <c r="B930" i="1"/>
  <c r="C929" i="1"/>
  <c r="B929" i="1"/>
  <c r="C558" i="1"/>
  <c r="B558" i="1"/>
  <c r="C1109" i="1"/>
  <c r="B1109" i="1"/>
  <c r="C1110" i="1"/>
  <c r="B1110" i="1"/>
  <c r="C1108" i="1"/>
  <c r="B1108" i="1"/>
  <c r="C1107" i="1"/>
  <c r="B1107" i="1"/>
  <c r="C1106" i="1"/>
  <c r="B1106" i="1"/>
  <c r="C1111" i="1"/>
  <c r="B1111" i="1"/>
  <c r="C1105" i="1"/>
  <c r="B1105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2325" i="1"/>
  <c r="B2325" i="1"/>
  <c r="C2323" i="1"/>
  <c r="B2323" i="1"/>
  <c r="C2322" i="1"/>
  <c r="B2322" i="1"/>
  <c r="C2321" i="1"/>
  <c r="B2321" i="1"/>
  <c r="C2320" i="1"/>
  <c r="B2320" i="1"/>
  <c r="C926" i="1"/>
  <c r="B926" i="1"/>
  <c r="C925" i="1"/>
  <c r="B925" i="1"/>
  <c r="C924" i="1"/>
  <c r="B924" i="1"/>
  <c r="C923" i="1"/>
  <c r="B923" i="1"/>
  <c r="C922" i="1"/>
  <c r="B922" i="1"/>
  <c r="C2020" i="1"/>
  <c r="B2020" i="1"/>
  <c r="C2018" i="1"/>
  <c r="B2018" i="1"/>
  <c r="C2019" i="1"/>
  <c r="B2019" i="1"/>
  <c r="C2017" i="1"/>
  <c r="B2017" i="1"/>
  <c r="C2015" i="1"/>
  <c r="B2015" i="1"/>
  <c r="C2013" i="1"/>
  <c r="B2013" i="1"/>
  <c r="C2012" i="1"/>
  <c r="B2012" i="1"/>
  <c r="C2014" i="1"/>
  <c r="B2014" i="1"/>
  <c r="C2008" i="1"/>
  <c r="B2008" i="1"/>
  <c r="C2010" i="1"/>
  <c r="B2010" i="1"/>
  <c r="C2007" i="1"/>
  <c r="B2007" i="1"/>
  <c r="C2009" i="1"/>
  <c r="B2009" i="1"/>
  <c r="C2004" i="1"/>
  <c r="B2004" i="1"/>
  <c r="C2006" i="1"/>
  <c r="B2006" i="1"/>
  <c r="C2003" i="1"/>
  <c r="B2003" i="1"/>
  <c r="C2005" i="1"/>
  <c r="B2005" i="1"/>
  <c r="C1999" i="1"/>
  <c r="B1999" i="1"/>
  <c r="C2001" i="1"/>
  <c r="B2001" i="1"/>
  <c r="C1998" i="1"/>
  <c r="B1998" i="1"/>
  <c r="C1997" i="1"/>
  <c r="B1997" i="1"/>
  <c r="C2000" i="1"/>
  <c r="B2000" i="1"/>
  <c r="C1995" i="1"/>
  <c r="B1995" i="1"/>
  <c r="C1993" i="1"/>
  <c r="B1993" i="1"/>
  <c r="C1992" i="1"/>
  <c r="B1992" i="1"/>
  <c r="C1994" i="1"/>
  <c r="B1994" i="1"/>
  <c r="C1990" i="1"/>
  <c r="B1990" i="1"/>
  <c r="C1988" i="1"/>
  <c r="B1988" i="1"/>
  <c r="C1989" i="1"/>
  <c r="B1989" i="1"/>
  <c r="C1987" i="1"/>
  <c r="B1987" i="1"/>
  <c r="C1986" i="1"/>
  <c r="B1986" i="1"/>
  <c r="C1984" i="1"/>
  <c r="B1984" i="1"/>
  <c r="C1061" i="1"/>
  <c r="B1061" i="1"/>
  <c r="C1063" i="1"/>
  <c r="B1063" i="1"/>
  <c r="C1062" i="1"/>
  <c r="B1062" i="1"/>
  <c r="C1059" i="1"/>
  <c r="B1059" i="1"/>
  <c r="C1060" i="1"/>
  <c r="B1060" i="1"/>
  <c r="C1056" i="1"/>
  <c r="B1056" i="1"/>
  <c r="C1054" i="1"/>
  <c r="B1054" i="1"/>
  <c r="C1057" i="1"/>
  <c r="B1057" i="1"/>
  <c r="C1053" i="1"/>
  <c r="B1053" i="1"/>
  <c r="C1055" i="1"/>
  <c r="B1055" i="1"/>
  <c r="C1460" i="1"/>
  <c r="B1460" i="1"/>
  <c r="C1461" i="1"/>
  <c r="B1461" i="1"/>
  <c r="C1459" i="1"/>
  <c r="B1459" i="1"/>
  <c r="C1464" i="1"/>
  <c r="B1464" i="1"/>
  <c r="C2698" i="1"/>
  <c r="B2698" i="1"/>
  <c r="C2697" i="1"/>
  <c r="B2697" i="1"/>
  <c r="C2696" i="1"/>
  <c r="B2696" i="1"/>
  <c r="C2694" i="1"/>
  <c r="B2694" i="1"/>
  <c r="C2693" i="1"/>
  <c r="B2693" i="1"/>
  <c r="C2692" i="1"/>
  <c r="B2692" i="1"/>
  <c r="C2690" i="1"/>
  <c r="B2690" i="1"/>
  <c r="C2689" i="1"/>
  <c r="B2689" i="1"/>
  <c r="C2688" i="1"/>
  <c r="B2688" i="1"/>
  <c r="C2686" i="1"/>
  <c r="B2686" i="1"/>
  <c r="C2685" i="1"/>
  <c r="B2685" i="1"/>
  <c r="C2684" i="1"/>
  <c r="B2684" i="1"/>
  <c r="C2682" i="1"/>
  <c r="B2682" i="1"/>
  <c r="C2681" i="1"/>
  <c r="B2681" i="1"/>
  <c r="C2680" i="1"/>
  <c r="B2680" i="1"/>
  <c r="C2678" i="1"/>
  <c r="B2678" i="1"/>
  <c r="C2677" i="1"/>
  <c r="B2677" i="1"/>
  <c r="C2676" i="1"/>
  <c r="B2676" i="1"/>
  <c r="C2555" i="1"/>
  <c r="B2555" i="1"/>
  <c r="C2554" i="1"/>
  <c r="B2554" i="1"/>
  <c r="C2553" i="1"/>
  <c r="B2553" i="1"/>
  <c r="C2552" i="1"/>
  <c r="B2552" i="1"/>
  <c r="C3325" i="1"/>
  <c r="B3325" i="1"/>
  <c r="C3328" i="1"/>
  <c r="B3328" i="1"/>
  <c r="C3324" i="1"/>
  <c r="B3324" i="1"/>
  <c r="C3323" i="1"/>
  <c r="B3323" i="1"/>
  <c r="C3322" i="1"/>
  <c r="B3322" i="1"/>
  <c r="C3327" i="1"/>
  <c r="B3327" i="1"/>
  <c r="C3321" i="1"/>
  <c r="B3321" i="1"/>
  <c r="C3320" i="1"/>
  <c r="B3320" i="1"/>
  <c r="C3326" i="1"/>
  <c r="B3326" i="1"/>
  <c r="C3319" i="1"/>
  <c r="B3319" i="1"/>
  <c r="C3318" i="1"/>
  <c r="B3318" i="1"/>
  <c r="C3317" i="1"/>
  <c r="B3317" i="1"/>
  <c r="C3316" i="1"/>
  <c r="B3316" i="1"/>
  <c r="C3312" i="1"/>
  <c r="B3312" i="1"/>
  <c r="C3313" i="1"/>
  <c r="B3313" i="1"/>
  <c r="C3311" i="1"/>
  <c r="B3311" i="1"/>
  <c r="C3314" i="1"/>
  <c r="B3314" i="1"/>
  <c r="C3307" i="1"/>
  <c r="B3307" i="1"/>
  <c r="C3306" i="1"/>
  <c r="B3306" i="1"/>
  <c r="C3305" i="1"/>
  <c r="B3305" i="1"/>
  <c r="C3308" i="1"/>
  <c r="B3308" i="1"/>
  <c r="C3304" i="1"/>
  <c r="B3304" i="1"/>
  <c r="C3303" i="1"/>
  <c r="B3303" i="1"/>
  <c r="C3302" i="1"/>
  <c r="B3302" i="1"/>
  <c r="C3309" i="1"/>
  <c r="B3309" i="1"/>
  <c r="C3301" i="1"/>
  <c r="B3301" i="1"/>
  <c r="C3300" i="1"/>
  <c r="B3300" i="1"/>
  <c r="C3298" i="1"/>
  <c r="B3298" i="1"/>
  <c r="C3299" i="1"/>
  <c r="B3299" i="1"/>
  <c r="C3296" i="1"/>
  <c r="B3296" i="1"/>
  <c r="C3294" i="1"/>
  <c r="B3294" i="1"/>
  <c r="C3295" i="1"/>
  <c r="B3295" i="1"/>
  <c r="C3290" i="1"/>
  <c r="B3290" i="1"/>
  <c r="C3289" i="1"/>
  <c r="B3289" i="1"/>
  <c r="C3293" i="1"/>
  <c r="B3293" i="1"/>
  <c r="C3288" i="1"/>
  <c r="B3288" i="1"/>
  <c r="C3287" i="1"/>
  <c r="B3287" i="1"/>
  <c r="C3292" i="1"/>
  <c r="B3292" i="1"/>
  <c r="C3286" i="1"/>
  <c r="B3286" i="1"/>
  <c r="C3291" i="1"/>
  <c r="B3291" i="1"/>
  <c r="C3283" i="1"/>
  <c r="B3283" i="1"/>
  <c r="C3282" i="1"/>
  <c r="B3282" i="1"/>
  <c r="C3281" i="1"/>
  <c r="B3281" i="1"/>
  <c r="C3284" i="1"/>
  <c r="B3284" i="1"/>
  <c r="C3279" i="1"/>
  <c r="B3279" i="1"/>
  <c r="C3275" i="1"/>
  <c r="B3275" i="1"/>
  <c r="C3274" i="1"/>
  <c r="B3274" i="1"/>
  <c r="C3277" i="1"/>
  <c r="B3277" i="1"/>
  <c r="C3273" i="1"/>
  <c r="B3273" i="1"/>
  <c r="C3272" i="1"/>
  <c r="B3272" i="1"/>
  <c r="C3271" i="1"/>
  <c r="B3271" i="1"/>
  <c r="C3270" i="1"/>
  <c r="B3270" i="1"/>
  <c r="C3276" i="1"/>
  <c r="B3276" i="1"/>
  <c r="C3278" i="1"/>
  <c r="B3278" i="1"/>
  <c r="C3265" i="1"/>
  <c r="B3265" i="1"/>
  <c r="C3264" i="1"/>
  <c r="B3264" i="1"/>
  <c r="C3263" i="1"/>
  <c r="B3263" i="1"/>
  <c r="C3262" i="1"/>
  <c r="B3262" i="1"/>
  <c r="C3261" i="1"/>
  <c r="B3261" i="1"/>
  <c r="C3260" i="1"/>
  <c r="B3260" i="1"/>
  <c r="C3267" i="1"/>
  <c r="B3267" i="1"/>
  <c r="C3259" i="1"/>
  <c r="B3259" i="1"/>
  <c r="C3258" i="1"/>
  <c r="B3258" i="1"/>
  <c r="C3266" i="1"/>
  <c r="B3266" i="1"/>
  <c r="C3257" i="1"/>
  <c r="B3257" i="1"/>
  <c r="C3268" i="1"/>
  <c r="B3268" i="1"/>
  <c r="C3256" i="1"/>
  <c r="B3256" i="1"/>
  <c r="C3255" i="1"/>
  <c r="B3255" i="1"/>
  <c r="C3251" i="1"/>
  <c r="B3251" i="1"/>
  <c r="C3253" i="1"/>
  <c r="B3253" i="1"/>
  <c r="C3250" i="1"/>
  <c r="B3250" i="1"/>
  <c r="C3249" i="1"/>
  <c r="B3249" i="1"/>
  <c r="C3248" i="1"/>
  <c r="B3248" i="1"/>
  <c r="C3252" i="1"/>
  <c r="B3252" i="1"/>
  <c r="C3245" i="1"/>
  <c r="B3245" i="1"/>
  <c r="C3244" i="1"/>
  <c r="B3244" i="1"/>
  <c r="C3242" i="1"/>
  <c r="B3242" i="1"/>
  <c r="C3241" i="1"/>
  <c r="B3241" i="1"/>
  <c r="C3240" i="1"/>
  <c r="B3240" i="1"/>
  <c r="C3246" i="1"/>
  <c r="B3246" i="1"/>
  <c r="C3239" i="1"/>
  <c r="B3239" i="1"/>
  <c r="C3238" i="1"/>
  <c r="B3238" i="1"/>
  <c r="C3237" i="1"/>
  <c r="B3237" i="1"/>
  <c r="C3236" i="1"/>
  <c r="B3236" i="1"/>
  <c r="C3243" i="1"/>
  <c r="B3243" i="1"/>
  <c r="C3235" i="1"/>
  <c r="B3235" i="1"/>
  <c r="C3233" i="1"/>
  <c r="B3233" i="1"/>
  <c r="C3232" i="1"/>
  <c r="B3232" i="1"/>
  <c r="C3231" i="1"/>
  <c r="B3231" i="1"/>
  <c r="C3228" i="1"/>
  <c r="B3228" i="1"/>
  <c r="C3229" i="1"/>
  <c r="B3229" i="1"/>
  <c r="C3227" i="1"/>
  <c r="B3227" i="1"/>
  <c r="C3226" i="1"/>
  <c r="B3226" i="1"/>
  <c r="C3225" i="1"/>
  <c r="B3225" i="1"/>
  <c r="C3224" i="1"/>
  <c r="B3224" i="1"/>
  <c r="C3223" i="1"/>
  <c r="B3223" i="1"/>
  <c r="C3222" i="1"/>
  <c r="B3222" i="1"/>
  <c r="C3221" i="1"/>
  <c r="B3221" i="1"/>
  <c r="C3220" i="1"/>
  <c r="B3220" i="1"/>
  <c r="C3219" i="1"/>
  <c r="B3219" i="1"/>
  <c r="C3217" i="1"/>
  <c r="B3217" i="1"/>
  <c r="C3216" i="1"/>
  <c r="B3216" i="1"/>
  <c r="C3215" i="1"/>
  <c r="B3215" i="1"/>
  <c r="C3213" i="1"/>
  <c r="B3213" i="1"/>
  <c r="C3212" i="1"/>
  <c r="B3212" i="1"/>
  <c r="C3210" i="1"/>
  <c r="B3210" i="1"/>
  <c r="C3209" i="1"/>
  <c r="B3209" i="1"/>
  <c r="C3208" i="1"/>
  <c r="B3208" i="1"/>
  <c r="C3207" i="1"/>
  <c r="B3207" i="1"/>
  <c r="C3206" i="1"/>
  <c r="B3206" i="1"/>
  <c r="C1421" i="1"/>
  <c r="B1421" i="1"/>
  <c r="C1420" i="1"/>
  <c r="B1420" i="1"/>
  <c r="C1422" i="1"/>
  <c r="B1422" i="1"/>
  <c r="C1417" i="1"/>
  <c r="B1417" i="1"/>
  <c r="C1416" i="1"/>
  <c r="B1416" i="1"/>
  <c r="C1418" i="1"/>
  <c r="B1418" i="1"/>
  <c r="C3833" i="1"/>
  <c r="B3833" i="1"/>
  <c r="C3832" i="1"/>
  <c r="B3832" i="1"/>
  <c r="C3831" i="1"/>
  <c r="B3831" i="1"/>
  <c r="C3830" i="1"/>
  <c r="B3830" i="1"/>
  <c r="C3829" i="1"/>
  <c r="B3829" i="1"/>
  <c r="C2081" i="1"/>
  <c r="B2081" i="1"/>
  <c r="C2080" i="1"/>
  <c r="B2080" i="1"/>
  <c r="C2079" i="1"/>
  <c r="B2079" i="1"/>
  <c r="C2077" i="1"/>
  <c r="B2077" i="1"/>
  <c r="C2082" i="1"/>
  <c r="B2082" i="1"/>
  <c r="C2078" i="1"/>
  <c r="B2078" i="1"/>
  <c r="C2075" i="1"/>
  <c r="B2075" i="1"/>
  <c r="C2072" i="1"/>
  <c r="B2072" i="1"/>
  <c r="C2069" i="1"/>
  <c r="B2069" i="1"/>
  <c r="C2073" i="1"/>
  <c r="B2073" i="1"/>
  <c r="C2071" i="1"/>
  <c r="B2071" i="1"/>
  <c r="C2070" i="1"/>
  <c r="B2070" i="1"/>
  <c r="C829" i="1"/>
  <c r="B829" i="1"/>
  <c r="C828" i="1"/>
  <c r="B828" i="1"/>
  <c r="C826" i="1"/>
  <c r="B826" i="1"/>
  <c r="C825" i="1"/>
  <c r="B825" i="1"/>
  <c r="C3817" i="1"/>
  <c r="B3817" i="1"/>
  <c r="C3816" i="1"/>
  <c r="B3816" i="1"/>
  <c r="C3815" i="1"/>
  <c r="B3815" i="1"/>
  <c r="C2854" i="1"/>
  <c r="B2854" i="1"/>
  <c r="C2853" i="1"/>
  <c r="B2853" i="1"/>
  <c r="C2855" i="1"/>
  <c r="B2855" i="1"/>
  <c r="C2852" i="1"/>
  <c r="B2852" i="1"/>
  <c r="C2850" i="1"/>
  <c r="B2850" i="1"/>
  <c r="C2851" i="1"/>
  <c r="B2851" i="1"/>
  <c r="C2849" i="1"/>
  <c r="B2849" i="1"/>
  <c r="C2847" i="1"/>
  <c r="B2847" i="1"/>
  <c r="C2844" i="1"/>
  <c r="B2844" i="1"/>
  <c r="C2843" i="1"/>
  <c r="B2843" i="1"/>
  <c r="C2839" i="1"/>
  <c r="B2839" i="1"/>
  <c r="C2842" i="1"/>
  <c r="B2842" i="1"/>
  <c r="C2841" i="1"/>
  <c r="B2841" i="1"/>
  <c r="C2840" i="1"/>
  <c r="B2840" i="1"/>
  <c r="C2845" i="1"/>
  <c r="B2845" i="1"/>
  <c r="C2836" i="1"/>
  <c r="B2836" i="1"/>
  <c r="C2837" i="1"/>
  <c r="B2837" i="1"/>
  <c r="C2808" i="1"/>
  <c r="B2808" i="1"/>
  <c r="C2807" i="1"/>
  <c r="B2807" i="1"/>
  <c r="C2809" i="1"/>
  <c r="B2809" i="1"/>
  <c r="C2805" i="1"/>
  <c r="B2805" i="1"/>
  <c r="C2804" i="1"/>
  <c r="B2804" i="1"/>
  <c r="C2803" i="1"/>
  <c r="B2803" i="1"/>
  <c r="C2801" i="1"/>
  <c r="B2801" i="1"/>
  <c r="C2800" i="1"/>
  <c r="B2800" i="1"/>
  <c r="C2799" i="1"/>
  <c r="B2799" i="1"/>
  <c r="C2798" i="1"/>
  <c r="B2798" i="1"/>
  <c r="C1291" i="1"/>
  <c r="B1291" i="1"/>
  <c r="C1290" i="1"/>
  <c r="B1290" i="1"/>
  <c r="C1294" i="1"/>
  <c r="B1294" i="1"/>
  <c r="C1289" i="1"/>
  <c r="B1289" i="1"/>
  <c r="C1293" i="1"/>
  <c r="B1293" i="1"/>
  <c r="C1288" i="1"/>
  <c r="B1288" i="1"/>
  <c r="C1292" i="1"/>
  <c r="B1292" i="1"/>
  <c r="C1287" i="1"/>
  <c r="B1287" i="1"/>
  <c r="C1284" i="1"/>
  <c r="B1284" i="1"/>
  <c r="C1283" i="1"/>
  <c r="B1283" i="1"/>
  <c r="C1282" i="1"/>
  <c r="B1282" i="1"/>
  <c r="C1281" i="1"/>
  <c r="B1281" i="1"/>
  <c r="C1280" i="1"/>
  <c r="B1280" i="1"/>
  <c r="C1285" i="1"/>
  <c r="B1285" i="1"/>
  <c r="C1279" i="1"/>
  <c r="B1279" i="1"/>
  <c r="C2673" i="1"/>
  <c r="B2673" i="1"/>
  <c r="C2672" i="1"/>
  <c r="B2672" i="1"/>
  <c r="C2674" i="1"/>
  <c r="B2674" i="1"/>
  <c r="C2671" i="1"/>
  <c r="B2671" i="1"/>
  <c r="C2665" i="1"/>
  <c r="B2665" i="1"/>
  <c r="C2668" i="1"/>
  <c r="B2668" i="1"/>
  <c r="C2669" i="1"/>
  <c r="B2669" i="1"/>
  <c r="C2667" i="1"/>
  <c r="B2667" i="1"/>
  <c r="C2666" i="1"/>
  <c r="B2666" i="1"/>
  <c r="C1276" i="1"/>
  <c r="B1276" i="1"/>
  <c r="C1275" i="1"/>
  <c r="B1275" i="1"/>
  <c r="C1274" i="1"/>
  <c r="B1274" i="1"/>
  <c r="C1273" i="1"/>
  <c r="B1273" i="1"/>
  <c r="C1272" i="1"/>
  <c r="B1272" i="1"/>
  <c r="C1270" i="1"/>
  <c r="B1270" i="1"/>
  <c r="C1277" i="1"/>
  <c r="B1277" i="1"/>
  <c r="C1271" i="1"/>
  <c r="B1271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9" i="1"/>
  <c r="B1269" i="1"/>
  <c r="C1156" i="1"/>
  <c r="B1156" i="1"/>
  <c r="C1155" i="1"/>
  <c r="B1155" i="1"/>
  <c r="C1153" i="1"/>
  <c r="B1153" i="1"/>
  <c r="C1154" i="1"/>
  <c r="B1154" i="1"/>
  <c r="C1151" i="1"/>
  <c r="B1151" i="1"/>
  <c r="C1150" i="1"/>
  <c r="B1150" i="1"/>
  <c r="C1093" i="1"/>
  <c r="B1093" i="1"/>
  <c r="C1092" i="1"/>
  <c r="B1092" i="1"/>
  <c r="C1094" i="1"/>
  <c r="B1094" i="1"/>
  <c r="C1095" i="1"/>
  <c r="B1095" i="1"/>
  <c r="C1091" i="1"/>
  <c r="B1091" i="1"/>
  <c r="C1090" i="1"/>
  <c r="B1090" i="1"/>
  <c r="C1089" i="1"/>
  <c r="B1089" i="1"/>
  <c r="C1085" i="1"/>
  <c r="B1085" i="1"/>
  <c r="C1087" i="1"/>
  <c r="B1087" i="1"/>
  <c r="C1084" i="1"/>
  <c r="B1084" i="1"/>
  <c r="C1083" i="1"/>
  <c r="B1083" i="1"/>
  <c r="C1086" i="1"/>
  <c r="B1086" i="1"/>
  <c r="C1082" i="1"/>
  <c r="B1082" i="1"/>
  <c r="C1081" i="1"/>
  <c r="B1081" i="1"/>
  <c r="C1078" i="1"/>
  <c r="B1078" i="1"/>
  <c r="C1079" i="1"/>
  <c r="B1079" i="1"/>
  <c r="C2317" i="1"/>
  <c r="B2317" i="1"/>
  <c r="C2316" i="1"/>
  <c r="B2316" i="1"/>
  <c r="C2318" i="1"/>
  <c r="B2318" i="1"/>
  <c r="C2315" i="1"/>
  <c r="B2315" i="1"/>
  <c r="C2314" i="1"/>
  <c r="B2314" i="1"/>
  <c r="C2313" i="1"/>
  <c r="B2313" i="1"/>
  <c r="C2310" i="1"/>
  <c r="B2310" i="1"/>
  <c r="C2309" i="1"/>
  <c r="B2309" i="1"/>
  <c r="C2311" i="1"/>
  <c r="B2311" i="1"/>
  <c r="C2308" i="1"/>
  <c r="B2308" i="1"/>
  <c r="C2095" i="1"/>
  <c r="B2095" i="1"/>
  <c r="C2099" i="1"/>
  <c r="B2099" i="1"/>
  <c r="C2098" i="1"/>
  <c r="B2098" i="1"/>
  <c r="C2097" i="1"/>
  <c r="B2097" i="1"/>
  <c r="C2096" i="1"/>
  <c r="B2096" i="1"/>
  <c r="C2091" i="1"/>
  <c r="B2091" i="1"/>
  <c r="C2093" i="1"/>
  <c r="B2093" i="1"/>
  <c r="C2092" i="1"/>
  <c r="B2092" i="1"/>
  <c r="C1050" i="1"/>
  <c r="B1050" i="1"/>
  <c r="C1049" i="1"/>
  <c r="B1049" i="1"/>
  <c r="C1048" i="1"/>
  <c r="B1048" i="1"/>
  <c r="C1047" i="1"/>
  <c r="B1047" i="1"/>
  <c r="C1051" i="1"/>
  <c r="B1051" i="1"/>
  <c r="C1046" i="1"/>
  <c r="B1046" i="1"/>
  <c r="C1043" i="1"/>
  <c r="B1043" i="1"/>
  <c r="C1041" i="1"/>
  <c r="B1041" i="1"/>
  <c r="C1042" i="1"/>
  <c r="B1042" i="1"/>
  <c r="C1044" i="1"/>
  <c r="B1044" i="1"/>
  <c r="C1040" i="1"/>
  <c r="B1040" i="1"/>
  <c r="C1037" i="1"/>
  <c r="B1037" i="1"/>
  <c r="C1036" i="1"/>
  <c r="B1036" i="1"/>
  <c r="C1033" i="1"/>
  <c r="B1033" i="1"/>
  <c r="C1035" i="1"/>
  <c r="B1035" i="1"/>
  <c r="C1034" i="1"/>
  <c r="B1034" i="1"/>
  <c r="C1038" i="1"/>
  <c r="B1038" i="1"/>
  <c r="C1030" i="1"/>
  <c r="B1030" i="1"/>
  <c r="C1027" i="1"/>
  <c r="B1027" i="1"/>
  <c r="C1029" i="1"/>
  <c r="B1029" i="1"/>
  <c r="C1028" i="1"/>
  <c r="B1028" i="1"/>
  <c r="C1031" i="1"/>
  <c r="B1031" i="1"/>
  <c r="C1022" i="1"/>
  <c r="B1022" i="1"/>
  <c r="C1021" i="1"/>
  <c r="B1021" i="1"/>
  <c r="C1020" i="1"/>
  <c r="B1020" i="1"/>
  <c r="C1023" i="1"/>
  <c r="B1023" i="1"/>
  <c r="C1019" i="1"/>
  <c r="B1019" i="1"/>
  <c r="C1024" i="1"/>
  <c r="B1024" i="1"/>
  <c r="C1018" i="1"/>
  <c r="B1018" i="1"/>
  <c r="C1017" i="1"/>
  <c r="B1017" i="1"/>
  <c r="C1014" i="1"/>
  <c r="B1014" i="1"/>
  <c r="C1013" i="1"/>
  <c r="B1013" i="1"/>
  <c r="C1012" i="1"/>
  <c r="B1012" i="1"/>
  <c r="C1015" i="1"/>
  <c r="B1015" i="1"/>
  <c r="C1010" i="1"/>
  <c r="B1010" i="1"/>
  <c r="C919" i="1"/>
  <c r="B919" i="1"/>
  <c r="C918" i="1"/>
  <c r="B918" i="1"/>
  <c r="C917" i="1"/>
  <c r="B917" i="1"/>
  <c r="C916" i="1"/>
  <c r="B916" i="1"/>
  <c r="C920" i="1"/>
  <c r="B920" i="1"/>
  <c r="C915" i="1"/>
  <c r="B915" i="1"/>
  <c r="C914" i="1"/>
  <c r="B914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3" i="1"/>
  <c r="B903" i="1"/>
  <c r="C900" i="1"/>
  <c r="B900" i="1"/>
  <c r="C902" i="1"/>
  <c r="B902" i="1"/>
  <c r="C901" i="1"/>
  <c r="B901" i="1"/>
  <c r="C905" i="1"/>
  <c r="B905" i="1"/>
  <c r="C904" i="1"/>
  <c r="B904" i="1"/>
  <c r="C899" i="1"/>
  <c r="B899" i="1"/>
  <c r="C895" i="1"/>
  <c r="B895" i="1"/>
  <c r="C894" i="1"/>
  <c r="B894" i="1"/>
  <c r="C893" i="1"/>
  <c r="B893" i="1"/>
  <c r="C897" i="1"/>
  <c r="B897" i="1"/>
  <c r="C892" i="1"/>
  <c r="B892" i="1"/>
  <c r="C896" i="1"/>
  <c r="B896" i="1"/>
  <c r="C891" i="1"/>
  <c r="B891" i="1"/>
  <c r="C889" i="1"/>
  <c r="B889" i="1"/>
  <c r="C887" i="1"/>
  <c r="B887" i="1"/>
  <c r="C886" i="1"/>
  <c r="B886" i="1"/>
  <c r="C883" i="1"/>
  <c r="B883" i="1"/>
  <c r="C881" i="1"/>
  <c r="B881" i="1"/>
  <c r="C878" i="1"/>
  <c r="B878" i="1"/>
  <c r="C880" i="1"/>
  <c r="B880" i="1"/>
  <c r="C879" i="1"/>
  <c r="B879" i="1"/>
  <c r="C882" i="1"/>
  <c r="B882" i="1"/>
  <c r="C876" i="1"/>
  <c r="B876" i="1"/>
  <c r="C870" i="1"/>
  <c r="B870" i="1"/>
  <c r="C873" i="1"/>
  <c r="B873" i="1"/>
  <c r="C872" i="1"/>
  <c r="B872" i="1"/>
  <c r="C871" i="1"/>
  <c r="B871" i="1"/>
  <c r="C874" i="1"/>
  <c r="B874" i="1"/>
  <c r="C867" i="1"/>
  <c r="B867" i="1"/>
  <c r="C868" i="1"/>
  <c r="B868" i="1"/>
  <c r="C865" i="1"/>
  <c r="B865" i="1"/>
  <c r="C863" i="1"/>
  <c r="B863" i="1"/>
  <c r="C860" i="1"/>
  <c r="B860" i="1"/>
  <c r="C861" i="1"/>
  <c r="B861" i="1"/>
  <c r="C857" i="1"/>
  <c r="B857" i="1"/>
  <c r="C856" i="1"/>
  <c r="B856" i="1"/>
  <c r="C854" i="1"/>
  <c r="B854" i="1"/>
  <c r="C855" i="1"/>
  <c r="B855" i="1"/>
  <c r="C858" i="1"/>
  <c r="B858" i="1"/>
  <c r="C291" i="1"/>
  <c r="B291" i="1"/>
  <c r="C289" i="1"/>
  <c r="B289" i="1"/>
  <c r="C290" i="1"/>
  <c r="B290" i="1"/>
  <c r="C288" i="1"/>
  <c r="B288" i="1"/>
  <c r="C286" i="1"/>
  <c r="B286" i="1"/>
  <c r="C285" i="1"/>
  <c r="B285" i="1"/>
  <c r="C284" i="1"/>
  <c r="B284" i="1"/>
  <c r="C283" i="1"/>
  <c r="B283" i="1"/>
  <c r="C281" i="1"/>
  <c r="B281" i="1"/>
  <c r="C279" i="1"/>
  <c r="B279" i="1"/>
  <c r="C280" i="1"/>
  <c r="B280" i="1"/>
  <c r="C278" i="1"/>
  <c r="B278" i="1"/>
  <c r="C275" i="1"/>
  <c r="B275" i="1"/>
  <c r="C274" i="1"/>
  <c r="B274" i="1"/>
  <c r="C273" i="1"/>
  <c r="B273" i="1"/>
  <c r="C270" i="1"/>
  <c r="B270" i="1"/>
  <c r="C271" i="1"/>
  <c r="B271" i="1"/>
  <c r="C3400" i="1"/>
  <c r="B3400" i="1"/>
  <c r="C3403" i="1"/>
  <c r="B3403" i="1"/>
  <c r="C3402" i="1"/>
  <c r="B3402" i="1"/>
  <c r="C3404" i="1"/>
  <c r="B3404" i="1"/>
  <c r="C3401" i="1"/>
  <c r="B3401" i="1"/>
  <c r="C3398" i="1"/>
  <c r="B3398" i="1"/>
  <c r="C3397" i="1"/>
  <c r="B3397" i="1"/>
  <c r="C3396" i="1"/>
  <c r="B3396" i="1"/>
  <c r="C3395" i="1"/>
  <c r="B3395" i="1"/>
  <c r="C3394" i="1"/>
  <c r="B3394" i="1"/>
  <c r="C3393" i="1"/>
  <c r="B3393" i="1"/>
  <c r="C3387" i="1"/>
  <c r="B3387" i="1"/>
  <c r="C3391" i="1"/>
  <c r="B3391" i="1"/>
  <c r="C3390" i="1"/>
  <c r="B3390" i="1"/>
  <c r="C3389" i="1"/>
  <c r="B3389" i="1"/>
  <c r="C3388" i="1"/>
  <c r="B3388" i="1"/>
  <c r="C3385" i="1"/>
  <c r="B3385" i="1"/>
  <c r="C3384" i="1"/>
  <c r="B3384" i="1"/>
  <c r="C3383" i="1"/>
  <c r="B3383" i="1"/>
  <c r="C3382" i="1"/>
  <c r="B3382" i="1"/>
  <c r="C3380" i="1"/>
  <c r="B3380" i="1"/>
  <c r="C3379" i="1"/>
  <c r="B3379" i="1"/>
  <c r="C3377" i="1"/>
  <c r="B3377" i="1"/>
  <c r="C3376" i="1"/>
  <c r="B3376" i="1"/>
  <c r="C3374" i="1"/>
  <c r="B3374" i="1"/>
  <c r="C3373" i="1"/>
  <c r="B3373" i="1"/>
  <c r="C3372" i="1"/>
  <c r="B3372" i="1"/>
  <c r="C2332" i="1"/>
  <c r="B2332" i="1"/>
  <c r="C2331" i="1"/>
  <c r="B2331" i="1"/>
  <c r="C2330" i="1"/>
  <c r="B2330" i="1"/>
  <c r="C2328" i="1"/>
  <c r="B2328" i="1"/>
  <c r="C1352" i="1"/>
  <c r="B1352" i="1"/>
  <c r="C1356" i="1"/>
  <c r="B1356" i="1"/>
  <c r="C1353" i="1"/>
  <c r="B1353" i="1"/>
  <c r="C1351" i="1"/>
  <c r="B1351" i="1"/>
  <c r="C1350" i="1"/>
  <c r="B1350" i="1"/>
  <c r="C1355" i="1"/>
  <c r="B1355" i="1"/>
  <c r="C1354" i="1"/>
  <c r="B1354" i="1"/>
  <c r="C1348" i="1"/>
  <c r="B1348" i="1"/>
  <c r="C1347" i="1"/>
  <c r="B1347" i="1"/>
  <c r="C1345" i="1"/>
  <c r="B1345" i="1"/>
  <c r="C1344" i="1"/>
  <c r="B1344" i="1"/>
  <c r="C1346" i="1"/>
  <c r="B1346" i="1"/>
  <c r="C1341" i="1"/>
  <c r="B1341" i="1"/>
  <c r="C1340" i="1"/>
  <c r="B1340" i="1"/>
  <c r="C1335" i="1"/>
  <c r="B1335" i="1"/>
  <c r="C1339" i="1"/>
  <c r="B1339" i="1"/>
  <c r="C1342" i="1"/>
  <c r="B1342" i="1"/>
  <c r="C1338" i="1"/>
  <c r="B1338" i="1"/>
  <c r="C1337" i="1"/>
  <c r="B1337" i="1"/>
  <c r="C1336" i="1"/>
  <c r="B1336" i="1"/>
  <c r="C1333" i="1"/>
  <c r="B1333" i="1"/>
  <c r="C1328" i="1"/>
  <c r="B1328" i="1"/>
  <c r="C1327" i="1"/>
  <c r="B1327" i="1"/>
  <c r="C1332" i="1"/>
  <c r="B1332" i="1"/>
  <c r="C1331" i="1"/>
  <c r="B1331" i="1"/>
  <c r="C1329" i="1"/>
  <c r="B1329" i="1"/>
  <c r="C1330" i="1"/>
  <c r="B1330" i="1"/>
  <c r="C1325" i="1"/>
  <c r="B1325" i="1"/>
  <c r="C1322" i="1"/>
  <c r="B1322" i="1"/>
  <c r="C1321" i="1"/>
  <c r="B1321" i="1"/>
  <c r="C1320" i="1"/>
  <c r="B1320" i="1"/>
  <c r="C1324" i="1"/>
  <c r="B1324" i="1"/>
  <c r="C1319" i="1"/>
  <c r="B1319" i="1"/>
  <c r="C1323" i="1"/>
  <c r="B1323" i="1"/>
  <c r="C1317" i="1"/>
  <c r="B1317" i="1"/>
  <c r="C1316" i="1"/>
  <c r="B1316" i="1"/>
  <c r="C1313" i="1"/>
  <c r="B1313" i="1"/>
  <c r="C1312" i="1"/>
  <c r="B1312" i="1"/>
  <c r="C1315" i="1"/>
  <c r="B1315" i="1"/>
  <c r="C1311" i="1"/>
  <c r="B1311" i="1"/>
  <c r="C1314" i="1"/>
  <c r="B1314" i="1"/>
  <c r="C1309" i="1"/>
  <c r="B1309" i="1"/>
  <c r="C1306" i="1"/>
  <c r="B1306" i="1"/>
  <c r="C1305" i="1"/>
  <c r="B1305" i="1"/>
  <c r="C1308" i="1"/>
  <c r="B1308" i="1"/>
  <c r="C1307" i="1"/>
  <c r="B1307" i="1"/>
  <c r="C1304" i="1"/>
  <c r="B1304" i="1"/>
  <c r="C1299" i="1"/>
  <c r="B1299" i="1"/>
  <c r="C1302" i="1"/>
  <c r="B1302" i="1"/>
  <c r="C1298" i="1"/>
  <c r="B1298" i="1"/>
  <c r="C1301" i="1"/>
  <c r="B1301" i="1"/>
  <c r="C1297" i="1"/>
  <c r="B1297" i="1"/>
  <c r="C1300" i="1"/>
  <c r="B1300" i="1"/>
  <c r="C3033" i="1"/>
  <c r="B3033" i="1"/>
  <c r="C3034" i="1"/>
  <c r="B3034" i="1"/>
  <c r="C3032" i="1"/>
  <c r="B3032" i="1"/>
  <c r="C2512" i="1"/>
  <c r="B2512" i="1"/>
  <c r="C2511" i="1"/>
  <c r="B2511" i="1"/>
  <c r="C2510" i="1"/>
  <c r="B2510" i="1"/>
  <c r="C2509" i="1"/>
  <c r="B2509" i="1"/>
  <c r="C2508" i="1"/>
  <c r="B2508" i="1"/>
  <c r="C2507" i="1"/>
  <c r="B2507" i="1"/>
  <c r="C2505" i="1"/>
  <c r="B2505" i="1"/>
  <c r="C2504" i="1"/>
  <c r="B2504" i="1"/>
  <c r="C2503" i="1"/>
  <c r="B2503" i="1"/>
  <c r="C1705" i="1"/>
  <c r="B1705" i="1"/>
  <c r="C1703" i="1"/>
  <c r="B1703" i="1"/>
  <c r="C1702" i="1"/>
  <c r="B1702" i="1"/>
  <c r="C1700" i="1"/>
  <c r="B1700" i="1"/>
  <c r="C1699" i="1"/>
  <c r="B1699" i="1"/>
  <c r="C1697" i="1"/>
  <c r="B1697" i="1"/>
  <c r="C1696" i="1"/>
  <c r="B1696" i="1"/>
  <c r="C1694" i="1"/>
  <c r="B1694" i="1"/>
  <c r="C3626" i="1"/>
  <c r="B3626" i="1"/>
  <c r="C3625" i="1"/>
  <c r="B3625" i="1"/>
  <c r="C3627" i="1"/>
  <c r="B3627" i="1"/>
  <c r="C3624" i="1"/>
  <c r="B3624" i="1"/>
  <c r="C3622" i="1"/>
  <c r="B3622" i="1"/>
  <c r="C3616" i="1"/>
  <c r="B3616" i="1"/>
  <c r="C3615" i="1"/>
  <c r="B3615" i="1"/>
  <c r="C3614" i="1"/>
  <c r="B3614" i="1"/>
  <c r="C3619" i="1"/>
  <c r="B3619" i="1"/>
  <c r="C3613" i="1"/>
  <c r="B3613" i="1"/>
  <c r="C3612" i="1"/>
  <c r="B3612" i="1"/>
  <c r="C3609" i="1"/>
  <c r="B3609" i="1"/>
  <c r="C3620" i="1"/>
  <c r="B3620" i="1"/>
  <c r="C3611" i="1"/>
  <c r="B3611" i="1"/>
  <c r="C3618" i="1"/>
  <c r="B3618" i="1"/>
  <c r="C3617" i="1"/>
  <c r="B3617" i="1"/>
  <c r="C3610" i="1"/>
  <c r="B3610" i="1"/>
  <c r="C3606" i="1"/>
  <c r="B3606" i="1"/>
  <c r="C3605" i="1"/>
  <c r="B3605" i="1"/>
  <c r="C3604" i="1"/>
  <c r="B3604" i="1"/>
  <c r="C3603" i="1"/>
  <c r="B3603" i="1"/>
  <c r="C3607" i="1"/>
  <c r="B3607" i="1"/>
  <c r="C3599" i="1"/>
  <c r="B3599" i="1"/>
  <c r="C3602" i="1"/>
  <c r="B3602" i="1"/>
  <c r="C3600" i="1"/>
  <c r="B3600" i="1"/>
  <c r="C3601" i="1"/>
  <c r="B3601" i="1"/>
  <c r="C823" i="1"/>
  <c r="B823" i="1"/>
  <c r="C822" i="1"/>
  <c r="B822" i="1"/>
  <c r="C821" i="1"/>
  <c r="B821" i="1"/>
  <c r="C819" i="1"/>
  <c r="B819" i="1"/>
  <c r="C818" i="1"/>
  <c r="B818" i="1"/>
  <c r="C3693" i="1"/>
  <c r="B3693" i="1"/>
  <c r="C3692" i="1"/>
  <c r="B3692" i="1"/>
  <c r="C3683" i="1"/>
  <c r="B3683" i="1"/>
  <c r="C3682" i="1"/>
  <c r="B3682" i="1"/>
  <c r="C3681" i="1"/>
  <c r="B3681" i="1"/>
  <c r="C1006" i="1"/>
  <c r="B1006" i="1"/>
  <c r="C1005" i="1"/>
  <c r="B1005" i="1"/>
  <c r="C1004" i="1"/>
  <c r="B1004" i="1"/>
  <c r="C1008" i="1"/>
  <c r="B1008" i="1"/>
  <c r="C1003" i="1"/>
  <c r="B1003" i="1"/>
  <c r="C1002" i="1"/>
  <c r="B1002" i="1"/>
  <c r="C1007" i="1"/>
  <c r="B1007" i="1"/>
  <c r="C1001" i="1"/>
  <c r="B1001" i="1"/>
  <c r="C999" i="1"/>
  <c r="B999" i="1"/>
  <c r="C998" i="1"/>
  <c r="B998" i="1"/>
  <c r="C996" i="1"/>
  <c r="B996" i="1"/>
  <c r="C997" i="1"/>
  <c r="B997" i="1"/>
  <c r="C1000" i="1"/>
  <c r="B1000" i="1"/>
  <c r="C2952" i="1"/>
  <c r="B2952" i="1"/>
  <c r="C2955" i="1"/>
  <c r="B2955" i="1"/>
  <c r="C2954" i="1"/>
  <c r="B2954" i="1"/>
  <c r="C2953" i="1"/>
  <c r="B2953" i="1"/>
  <c r="C2947" i="1"/>
  <c r="B2947" i="1"/>
  <c r="C2950" i="1"/>
  <c r="B2950" i="1"/>
  <c r="C2949" i="1"/>
  <c r="B2949" i="1"/>
  <c r="C2948" i="1"/>
  <c r="B2948" i="1"/>
  <c r="C2942" i="1"/>
  <c r="B2942" i="1"/>
  <c r="C2945" i="1"/>
  <c r="B2945" i="1"/>
  <c r="C2944" i="1"/>
  <c r="B2944" i="1"/>
  <c r="C2943" i="1"/>
  <c r="B2943" i="1"/>
  <c r="C2940" i="1"/>
  <c r="B2940" i="1"/>
  <c r="C2938" i="1"/>
  <c r="B2938" i="1"/>
  <c r="C2937" i="1"/>
  <c r="B2937" i="1"/>
  <c r="C2936" i="1"/>
  <c r="B2936" i="1"/>
  <c r="C2930" i="1"/>
  <c r="B2930" i="1"/>
  <c r="C2934" i="1"/>
  <c r="B2934" i="1"/>
  <c r="C2933" i="1"/>
  <c r="B2933" i="1"/>
  <c r="C2932" i="1"/>
  <c r="B2932" i="1"/>
  <c r="C2931" i="1"/>
  <c r="B2931" i="1"/>
  <c r="C2928" i="1"/>
  <c r="B2928" i="1"/>
  <c r="C2926" i="1"/>
  <c r="B2926" i="1"/>
  <c r="C2925" i="1"/>
  <c r="B2925" i="1"/>
  <c r="C2924" i="1"/>
  <c r="B2924" i="1"/>
  <c r="C2923" i="1"/>
  <c r="B2923" i="1"/>
  <c r="C2921" i="1"/>
  <c r="B2921" i="1"/>
  <c r="C2919" i="1"/>
  <c r="B2919" i="1"/>
  <c r="C2918" i="1"/>
  <c r="B2918" i="1"/>
  <c r="C2914" i="1"/>
  <c r="B2914" i="1"/>
  <c r="C2915" i="1"/>
  <c r="B2915" i="1"/>
  <c r="C2913" i="1"/>
  <c r="B2913" i="1"/>
  <c r="C2912" i="1"/>
  <c r="B2912" i="1"/>
  <c r="C2916" i="1"/>
  <c r="B2916" i="1"/>
  <c r="C2911" i="1"/>
  <c r="B2911" i="1"/>
  <c r="C2576" i="1"/>
  <c r="B2576" i="1"/>
  <c r="C2575" i="1"/>
  <c r="B2575" i="1"/>
  <c r="C2573" i="1"/>
  <c r="B2573" i="1"/>
  <c r="C2572" i="1"/>
  <c r="B2572" i="1"/>
  <c r="C2571" i="1"/>
  <c r="B2571" i="1"/>
  <c r="C2569" i="1"/>
  <c r="B2569" i="1"/>
  <c r="C2568" i="1"/>
  <c r="B2568" i="1"/>
  <c r="C2567" i="1"/>
  <c r="B2567" i="1"/>
  <c r="C2565" i="1"/>
  <c r="B2565" i="1"/>
  <c r="C2564" i="1"/>
  <c r="B2564" i="1"/>
  <c r="C1516" i="1"/>
  <c r="B1516" i="1"/>
  <c r="C1514" i="1"/>
  <c r="B1514" i="1"/>
  <c r="C1513" i="1"/>
  <c r="B1513" i="1"/>
  <c r="C1512" i="1"/>
  <c r="B1512" i="1"/>
  <c r="C1511" i="1"/>
  <c r="B1511" i="1"/>
  <c r="C1510" i="1"/>
  <c r="B1510" i="1"/>
  <c r="C1507" i="1"/>
  <c r="B1507" i="1"/>
  <c r="C1498" i="1"/>
  <c r="B1498" i="1"/>
  <c r="C1505" i="1"/>
  <c r="B1505" i="1"/>
  <c r="C1504" i="1"/>
  <c r="B1504" i="1"/>
  <c r="C1503" i="1"/>
  <c r="B1503" i="1"/>
  <c r="C1502" i="1"/>
  <c r="B1502" i="1"/>
  <c r="C1506" i="1"/>
  <c r="B1506" i="1"/>
  <c r="C1501" i="1"/>
  <c r="B1501" i="1"/>
  <c r="C1500" i="1"/>
  <c r="B1500" i="1"/>
  <c r="C1499" i="1"/>
  <c r="B1499" i="1"/>
  <c r="C1508" i="1"/>
  <c r="B1508" i="1"/>
  <c r="C1075" i="1"/>
  <c r="B1075" i="1"/>
  <c r="C1076" i="1"/>
  <c r="B1076" i="1"/>
  <c r="C1074" i="1"/>
  <c r="B1074" i="1"/>
  <c r="C1073" i="1"/>
  <c r="B1073" i="1"/>
  <c r="C1072" i="1"/>
  <c r="B1072" i="1"/>
  <c r="C1071" i="1"/>
  <c r="B1071" i="1"/>
  <c r="C1070" i="1"/>
  <c r="B1070" i="1"/>
  <c r="C1068" i="1"/>
  <c r="B1068" i="1"/>
  <c r="C1067" i="1"/>
  <c r="B1067" i="1"/>
  <c r="C1066" i="1"/>
  <c r="B1066" i="1"/>
  <c r="C1496" i="1"/>
  <c r="B1496" i="1"/>
  <c r="C1494" i="1"/>
  <c r="B1494" i="1"/>
  <c r="C1145" i="1"/>
  <c r="B1145" i="1"/>
  <c r="C1148" i="1"/>
  <c r="B1148" i="1"/>
  <c r="C1147" i="1"/>
  <c r="B1147" i="1"/>
  <c r="C1146" i="1"/>
  <c r="B1146" i="1"/>
  <c r="C1143" i="1"/>
  <c r="B1143" i="1"/>
  <c r="C1144" i="1"/>
  <c r="B1144" i="1"/>
  <c r="C1892" i="1"/>
  <c r="B1892" i="1"/>
  <c r="C1891" i="1"/>
  <c r="B1891" i="1"/>
  <c r="C1890" i="1"/>
  <c r="B1890" i="1"/>
  <c r="C1889" i="1"/>
  <c r="B1889" i="1"/>
  <c r="C1885" i="1"/>
  <c r="B1885" i="1"/>
  <c r="C1887" i="1"/>
  <c r="B1887" i="1"/>
  <c r="C1886" i="1"/>
  <c r="B1886" i="1"/>
  <c r="C309" i="1"/>
  <c r="B309" i="1"/>
  <c r="C308" i="1"/>
  <c r="B308" i="1"/>
  <c r="C306" i="1"/>
  <c r="B306" i="1"/>
  <c r="C305" i="1"/>
  <c r="B305" i="1"/>
  <c r="C3745" i="1"/>
  <c r="B3745" i="1"/>
  <c r="C3744" i="1"/>
  <c r="B3744" i="1"/>
  <c r="C3747" i="1"/>
  <c r="B3747" i="1"/>
  <c r="C3743" i="1"/>
  <c r="B3743" i="1"/>
  <c r="C3746" i="1"/>
  <c r="B3746" i="1"/>
  <c r="C3742" i="1"/>
  <c r="B3742" i="1"/>
  <c r="C3741" i="1"/>
  <c r="B3741" i="1"/>
  <c r="C3739" i="1"/>
  <c r="B3739" i="1"/>
  <c r="C3740" i="1"/>
  <c r="B3740" i="1"/>
  <c r="C3734" i="1"/>
  <c r="B3734" i="1"/>
  <c r="C3733" i="1"/>
  <c r="B3733" i="1"/>
  <c r="C3736" i="1"/>
  <c r="B3736" i="1"/>
  <c r="C3732" i="1"/>
  <c r="B3732" i="1"/>
  <c r="C3731" i="1"/>
  <c r="B3731" i="1"/>
  <c r="C3730" i="1"/>
  <c r="B3730" i="1"/>
  <c r="C3729" i="1"/>
  <c r="B3729" i="1"/>
  <c r="C3735" i="1"/>
  <c r="B3735" i="1"/>
  <c r="C3737" i="1"/>
  <c r="B3737" i="1"/>
  <c r="C1456" i="1"/>
  <c r="B1456" i="1"/>
  <c r="C1454" i="1"/>
  <c r="B1454" i="1"/>
  <c r="C690" i="1"/>
  <c r="B690" i="1"/>
  <c r="C689" i="1"/>
  <c r="B689" i="1"/>
  <c r="C688" i="1"/>
  <c r="B688" i="1"/>
  <c r="C687" i="1"/>
  <c r="B687" i="1"/>
  <c r="C685" i="1"/>
  <c r="B685" i="1"/>
  <c r="C684" i="1"/>
  <c r="B684" i="1"/>
  <c r="C3726" i="1"/>
  <c r="B3726" i="1"/>
  <c r="C3725" i="1"/>
  <c r="B3725" i="1"/>
  <c r="C3724" i="1"/>
  <c r="B3724" i="1"/>
  <c r="C3723" i="1"/>
  <c r="B3723" i="1"/>
  <c r="C3720" i="1"/>
  <c r="B3720" i="1"/>
  <c r="C3722" i="1"/>
  <c r="B3722" i="1"/>
  <c r="C3727" i="1"/>
  <c r="B3727" i="1"/>
  <c r="C3721" i="1"/>
  <c r="B3721" i="1"/>
  <c r="C3718" i="1"/>
  <c r="B3718" i="1"/>
  <c r="C3716" i="1"/>
  <c r="B3716" i="1"/>
  <c r="C3715" i="1"/>
  <c r="B3715" i="1"/>
  <c r="C3714" i="1"/>
  <c r="B3714" i="1"/>
  <c r="C3712" i="1"/>
  <c r="B3712" i="1"/>
  <c r="C3713" i="1"/>
  <c r="B3713" i="1"/>
  <c r="C3717" i="1"/>
  <c r="B3717" i="1"/>
  <c r="C1142" i="1"/>
  <c r="B1142" i="1"/>
  <c r="C1141" i="1"/>
  <c r="B1141" i="1"/>
  <c r="C1140" i="1"/>
  <c r="B1140" i="1"/>
  <c r="C1139" i="1"/>
  <c r="B1139" i="1"/>
  <c r="C1137" i="1"/>
  <c r="B1137" i="1"/>
  <c r="C1138" i="1"/>
  <c r="B1138" i="1"/>
  <c r="C1134" i="1"/>
  <c r="B1134" i="1"/>
  <c r="C1135" i="1"/>
  <c r="B1135" i="1"/>
  <c r="C2661" i="1"/>
  <c r="B2661" i="1"/>
  <c r="C2663" i="1"/>
  <c r="B2663" i="1"/>
  <c r="C2660" i="1"/>
  <c r="B2660" i="1"/>
  <c r="C2662" i="1"/>
  <c r="B2662" i="1"/>
  <c r="C2654" i="1"/>
  <c r="B2654" i="1"/>
  <c r="C2656" i="1"/>
  <c r="B2656" i="1"/>
  <c r="C2658" i="1"/>
  <c r="B2658" i="1"/>
  <c r="C2655" i="1"/>
  <c r="B2655" i="1"/>
  <c r="C2657" i="1"/>
  <c r="B2657" i="1"/>
  <c r="C2652" i="1"/>
  <c r="B2652" i="1"/>
  <c r="C2650" i="1"/>
  <c r="B2650" i="1"/>
  <c r="C2651" i="1"/>
  <c r="B2651" i="1"/>
  <c r="C2649" i="1"/>
  <c r="B2649" i="1"/>
  <c r="C3708" i="1"/>
  <c r="B3708" i="1"/>
  <c r="C3707" i="1"/>
  <c r="B3707" i="1"/>
  <c r="C3710" i="1"/>
  <c r="B3710" i="1"/>
  <c r="C3706" i="1"/>
  <c r="B3706" i="1"/>
  <c r="C3704" i="1"/>
  <c r="B3704" i="1"/>
  <c r="C3709" i="1"/>
  <c r="B3709" i="1"/>
  <c r="C3705" i="1"/>
  <c r="B3705" i="1"/>
  <c r="C3700" i="1"/>
  <c r="B3700" i="1"/>
  <c r="C3701" i="1"/>
  <c r="B3701" i="1"/>
  <c r="C3699" i="1"/>
  <c r="B3699" i="1"/>
  <c r="C3698" i="1"/>
  <c r="B3698" i="1"/>
  <c r="C3696" i="1"/>
  <c r="B3696" i="1"/>
  <c r="C3697" i="1"/>
  <c r="B3697" i="1"/>
  <c r="C3702" i="1"/>
  <c r="B3702" i="1"/>
  <c r="C212" i="1"/>
  <c r="B212" i="1"/>
  <c r="C211" i="1"/>
  <c r="B211" i="1"/>
  <c r="C209" i="1"/>
  <c r="B209" i="1"/>
  <c r="C208" i="1"/>
  <c r="B208" i="1"/>
  <c r="C2303" i="1"/>
  <c r="B2303" i="1"/>
  <c r="C2304" i="1"/>
  <c r="B2304" i="1"/>
  <c r="C2302" i="1"/>
  <c r="B2302" i="1"/>
  <c r="C2305" i="1"/>
  <c r="B2305" i="1"/>
  <c r="C2300" i="1"/>
  <c r="B2300" i="1"/>
  <c r="C2299" i="1"/>
  <c r="B2299" i="1"/>
  <c r="C97" i="1"/>
  <c r="B97" i="1"/>
  <c r="C96" i="1"/>
  <c r="B96" i="1"/>
  <c r="C98" i="1"/>
  <c r="B98" i="1"/>
  <c r="C95" i="1"/>
  <c r="B95" i="1"/>
  <c r="C94" i="1"/>
  <c r="B94" i="1"/>
  <c r="C93" i="1"/>
  <c r="B93" i="1"/>
  <c r="C92" i="1"/>
  <c r="B92" i="1"/>
  <c r="C91" i="1"/>
  <c r="B91" i="1"/>
  <c r="C89" i="1"/>
  <c r="B89" i="1"/>
  <c r="C88" i="1"/>
  <c r="B88" i="1"/>
  <c r="C87" i="1"/>
  <c r="B87" i="1"/>
  <c r="C85" i="1"/>
  <c r="B85" i="1"/>
  <c r="C84" i="1"/>
  <c r="B84" i="1"/>
  <c r="C81" i="1"/>
  <c r="B81" i="1"/>
  <c r="C83" i="1"/>
  <c r="B83" i="1"/>
  <c r="C82" i="1"/>
  <c r="B82" i="1"/>
  <c r="C79" i="1"/>
  <c r="B79" i="1"/>
  <c r="C78" i="1"/>
  <c r="B78" i="1"/>
  <c r="C77" i="1"/>
  <c r="B77" i="1"/>
  <c r="C74" i="1"/>
  <c r="B74" i="1"/>
  <c r="C75" i="1"/>
  <c r="B75" i="1"/>
  <c r="C73" i="1"/>
  <c r="B73" i="1"/>
  <c r="C72" i="1"/>
  <c r="B72" i="1"/>
  <c r="C71" i="1"/>
  <c r="B71" i="1"/>
  <c r="C70" i="1"/>
  <c r="B70" i="1"/>
  <c r="C69" i="1"/>
  <c r="B69" i="1"/>
  <c r="C66" i="1"/>
  <c r="B66" i="1"/>
  <c r="C67" i="1"/>
  <c r="B67" i="1"/>
  <c r="C65" i="1"/>
  <c r="B65" i="1"/>
  <c r="C64" i="1"/>
  <c r="B64" i="1"/>
  <c r="C61" i="1"/>
  <c r="B61" i="1"/>
  <c r="C62" i="1"/>
  <c r="B62" i="1"/>
  <c r="C60" i="1"/>
  <c r="B60" i="1"/>
  <c r="C58" i="1"/>
  <c r="B58" i="1"/>
  <c r="C57" i="1"/>
  <c r="B57" i="1"/>
  <c r="C1359" i="1"/>
  <c r="B1359" i="1"/>
  <c r="C329" i="1"/>
  <c r="B329" i="1"/>
  <c r="C328" i="1"/>
  <c r="B328" i="1"/>
  <c r="C327" i="1"/>
  <c r="B327" i="1"/>
  <c r="C326" i="1"/>
  <c r="B326" i="1"/>
  <c r="C325" i="1"/>
  <c r="B325" i="1"/>
  <c r="C330" i="1"/>
  <c r="B330" i="1"/>
  <c r="C324" i="1"/>
  <c r="B324" i="1"/>
  <c r="C322" i="1"/>
  <c r="B322" i="1"/>
  <c r="C323" i="1"/>
  <c r="B323" i="1"/>
  <c r="C321" i="1"/>
  <c r="B321" i="1"/>
  <c r="C313" i="1"/>
  <c r="B313" i="1"/>
  <c r="C318" i="1"/>
  <c r="B318" i="1"/>
  <c r="C317" i="1"/>
  <c r="B317" i="1"/>
  <c r="C316" i="1"/>
  <c r="B316" i="1"/>
  <c r="C319" i="1"/>
  <c r="B319" i="1"/>
  <c r="C315" i="1"/>
  <c r="B315" i="1"/>
  <c r="C314" i="1"/>
  <c r="B314" i="1"/>
  <c r="C320" i="1"/>
  <c r="B320" i="1"/>
  <c r="C312" i="1"/>
  <c r="B312" i="1"/>
  <c r="C2612" i="1"/>
  <c r="B2612" i="1"/>
  <c r="C2613" i="1"/>
  <c r="B2613" i="1"/>
  <c r="C2611" i="1"/>
  <c r="B2611" i="1"/>
  <c r="C2608" i="1"/>
  <c r="B2608" i="1"/>
  <c r="C2609" i="1"/>
  <c r="B2609" i="1"/>
  <c r="C2606" i="1"/>
  <c r="B2606" i="1"/>
  <c r="C2607" i="1"/>
  <c r="B2607" i="1"/>
  <c r="C2603" i="1"/>
  <c r="B2603" i="1"/>
  <c r="C2604" i="1"/>
  <c r="B2604" i="1"/>
  <c r="C2602" i="1"/>
  <c r="B2602" i="1"/>
  <c r="C2065" i="1"/>
  <c r="B2065" i="1"/>
  <c r="C2063" i="1"/>
  <c r="B2063" i="1"/>
  <c r="C2066" i="1"/>
  <c r="B2066" i="1"/>
  <c r="C2064" i="1"/>
  <c r="B2064" i="1"/>
  <c r="C2062" i="1"/>
  <c r="B2062" i="1"/>
  <c r="C2060" i="1"/>
  <c r="B2060" i="1"/>
  <c r="C680" i="1"/>
  <c r="B680" i="1"/>
  <c r="C682" i="1"/>
  <c r="B682" i="1"/>
  <c r="C679" i="1"/>
  <c r="B679" i="1"/>
  <c r="C681" i="1"/>
  <c r="B681" i="1"/>
  <c r="C677" i="1"/>
  <c r="B677" i="1"/>
  <c r="C676" i="1"/>
  <c r="B676" i="1"/>
  <c r="C3663" i="1"/>
  <c r="B3663" i="1"/>
  <c r="C3129" i="1"/>
  <c r="B3129" i="1"/>
  <c r="C3127" i="1"/>
  <c r="B3127" i="1"/>
  <c r="C1525" i="1"/>
  <c r="B1525" i="1"/>
  <c r="C1523" i="1"/>
  <c r="B1523" i="1"/>
  <c r="C1522" i="1"/>
  <c r="B1522" i="1"/>
  <c r="C1520" i="1"/>
  <c r="B1520" i="1"/>
  <c r="C1519" i="1"/>
  <c r="B1519" i="1"/>
  <c r="C2491" i="1"/>
  <c r="B2491" i="1"/>
  <c r="C2492" i="1"/>
  <c r="B2492" i="1"/>
  <c r="C2490" i="1"/>
  <c r="B2490" i="1"/>
  <c r="C2489" i="1"/>
  <c r="B2489" i="1"/>
  <c r="C2487" i="1"/>
  <c r="B2487" i="1"/>
  <c r="C2486" i="1"/>
  <c r="B2486" i="1"/>
  <c r="C2485" i="1"/>
  <c r="B2485" i="1"/>
  <c r="C2483" i="1"/>
  <c r="B2483" i="1"/>
  <c r="C2482" i="1"/>
  <c r="B2482" i="1"/>
  <c r="C2481" i="1"/>
  <c r="B2481" i="1"/>
  <c r="C2479" i="1"/>
  <c r="B2479" i="1"/>
  <c r="C2478" i="1"/>
  <c r="B2478" i="1"/>
  <c r="C2474" i="1"/>
  <c r="B2474" i="1"/>
  <c r="C2473" i="1"/>
  <c r="B2473" i="1"/>
  <c r="C2472" i="1"/>
  <c r="B2472" i="1"/>
  <c r="C2476" i="1"/>
  <c r="B2476" i="1"/>
  <c r="C2475" i="1"/>
  <c r="B2475" i="1"/>
  <c r="C2470" i="1"/>
  <c r="B2470" i="1"/>
  <c r="C2468" i="1"/>
  <c r="B2468" i="1"/>
  <c r="C2469" i="1"/>
  <c r="B2469" i="1"/>
  <c r="C2467" i="1"/>
  <c r="B2467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0" i="1"/>
  <c r="B240" i="1"/>
  <c r="C239" i="1"/>
  <c r="B239" i="1"/>
  <c r="C2757" i="1"/>
  <c r="B2757" i="1"/>
  <c r="C2756" i="1"/>
  <c r="B2756" i="1"/>
  <c r="C1813" i="1"/>
  <c r="B1813" i="1"/>
  <c r="C1812" i="1"/>
  <c r="B1812" i="1"/>
  <c r="C1809" i="1"/>
  <c r="B1809" i="1"/>
  <c r="C1808" i="1"/>
  <c r="B1808" i="1"/>
  <c r="C1810" i="1"/>
  <c r="B1810" i="1"/>
  <c r="C660" i="1"/>
  <c r="B660" i="1"/>
  <c r="C664" i="1"/>
  <c r="B664" i="1"/>
  <c r="C663" i="1"/>
  <c r="B663" i="1"/>
  <c r="C662" i="1"/>
  <c r="B662" i="1"/>
  <c r="C661" i="1"/>
  <c r="B661" i="1"/>
  <c r="C658" i="1"/>
  <c r="B658" i="1"/>
  <c r="C657" i="1"/>
  <c r="B657" i="1"/>
  <c r="C484" i="1"/>
  <c r="B484" i="1"/>
  <c r="C483" i="1"/>
  <c r="B483" i="1"/>
  <c r="C481" i="1"/>
  <c r="B481" i="1"/>
  <c r="C474" i="1"/>
  <c r="B474" i="1"/>
  <c r="C478" i="1"/>
  <c r="B478" i="1"/>
  <c r="C479" i="1"/>
  <c r="B479" i="1"/>
  <c r="C477" i="1"/>
  <c r="B477" i="1"/>
  <c r="C476" i="1"/>
  <c r="B476" i="1"/>
  <c r="C475" i="1"/>
  <c r="B475" i="1"/>
  <c r="C472" i="1"/>
  <c r="B472" i="1"/>
  <c r="C471" i="1"/>
  <c r="B471" i="1"/>
  <c r="C470" i="1"/>
  <c r="B470" i="1"/>
  <c r="C469" i="1"/>
  <c r="B469" i="1"/>
  <c r="C468" i="1"/>
  <c r="B468" i="1"/>
  <c r="C466" i="1"/>
  <c r="B466" i="1"/>
  <c r="C465" i="1"/>
  <c r="B465" i="1"/>
  <c r="C464" i="1"/>
  <c r="B464" i="1"/>
  <c r="C463" i="1"/>
  <c r="B463" i="1"/>
  <c r="C461" i="1"/>
  <c r="B461" i="1"/>
  <c r="C460" i="1"/>
  <c r="B460" i="1"/>
  <c r="C459" i="1"/>
  <c r="B459" i="1"/>
  <c r="C1491" i="1"/>
  <c r="B1491" i="1"/>
  <c r="C1490" i="1"/>
  <c r="B1490" i="1"/>
  <c r="C377" i="1"/>
  <c r="B377" i="1"/>
  <c r="C376" i="1"/>
  <c r="B376" i="1"/>
  <c r="C374" i="1"/>
  <c r="B374" i="1"/>
  <c r="C373" i="1"/>
  <c r="B373" i="1"/>
  <c r="C1450" i="1"/>
  <c r="B1450" i="1"/>
  <c r="C1449" i="1"/>
  <c r="B1449" i="1"/>
  <c r="C1451" i="1"/>
  <c r="B1451" i="1"/>
  <c r="C1448" i="1"/>
  <c r="B1448" i="1"/>
  <c r="C1445" i="1"/>
  <c r="B1445" i="1"/>
  <c r="C1446" i="1"/>
  <c r="B1446" i="1"/>
  <c r="C1442" i="1"/>
  <c r="B1442" i="1"/>
  <c r="C1441" i="1"/>
  <c r="B1441" i="1"/>
  <c r="C1440" i="1"/>
  <c r="B1440" i="1"/>
  <c r="C1443" i="1"/>
  <c r="B1443" i="1"/>
  <c r="C1439" i="1"/>
  <c r="B1439" i="1"/>
  <c r="C1436" i="1"/>
  <c r="B1436" i="1"/>
  <c r="C1437" i="1"/>
  <c r="B1437" i="1"/>
  <c r="C1434" i="1"/>
  <c r="B1434" i="1"/>
  <c r="C3006" i="1"/>
  <c r="B3006" i="1"/>
  <c r="C3004" i="1"/>
  <c r="B3004" i="1"/>
  <c r="C3002" i="1"/>
  <c r="B3002" i="1"/>
  <c r="C3001" i="1"/>
  <c r="B3001" i="1"/>
  <c r="C3003" i="1"/>
  <c r="B3003" i="1"/>
  <c r="C2999" i="1"/>
  <c r="B2999" i="1"/>
  <c r="C2998" i="1"/>
  <c r="B2998" i="1"/>
  <c r="C2994" i="1"/>
  <c r="B2994" i="1"/>
  <c r="C2993" i="1"/>
  <c r="B2993" i="1"/>
  <c r="C2992" i="1"/>
  <c r="B2992" i="1"/>
  <c r="C2995" i="1"/>
  <c r="B2995" i="1"/>
  <c r="C2996" i="1"/>
  <c r="B2996" i="1"/>
  <c r="C2991" i="1"/>
  <c r="B2991" i="1"/>
  <c r="C2990" i="1"/>
  <c r="B2990" i="1"/>
  <c r="C2989" i="1"/>
  <c r="B2989" i="1"/>
  <c r="C2987" i="1"/>
  <c r="B2987" i="1"/>
  <c r="C2985" i="1"/>
  <c r="B2985" i="1"/>
  <c r="C2984" i="1"/>
  <c r="B2984" i="1"/>
  <c r="C2980" i="1"/>
  <c r="B2980" i="1"/>
  <c r="C2979" i="1"/>
  <c r="B2979" i="1"/>
  <c r="C2982" i="1"/>
  <c r="B2982" i="1"/>
  <c r="C2978" i="1"/>
  <c r="B2978" i="1"/>
  <c r="C2983" i="1"/>
  <c r="B2983" i="1"/>
  <c r="C2977" i="1"/>
  <c r="B2977" i="1"/>
  <c r="C2981" i="1"/>
  <c r="B2981" i="1"/>
  <c r="C2976" i="1"/>
  <c r="B2976" i="1"/>
  <c r="C2972" i="1"/>
  <c r="B2972" i="1"/>
  <c r="C2971" i="1"/>
  <c r="B2971" i="1"/>
  <c r="C2970" i="1"/>
  <c r="B2970" i="1"/>
  <c r="C2969" i="1"/>
  <c r="B2969" i="1"/>
  <c r="C2974" i="1"/>
  <c r="B2974" i="1"/>
  <c r="C2973" i="1"/>
  <c r="B2973" i="1"/>
  <c r="C2968" i="1"/>
  <c r="B2968" i="1"/>
  <c r="C2966" i="1"/>
  <c r="B2966" i="1"/>
  <c r="C2964" i="1"/>
  <c r="B2964" i="1"/>
  <c r="C2965" i="1"/>
  <c r="B2965" i="1"/>
  <c r="C2963" i="1"/>
  <c r="B2963" i="1"/>
  <c r="C2961" i="1"/>
  <c r="B2961" i="1"/>
  <c r="C2960" i="1"/>
  <c r="B2960" i="1"/>
  <c r="C2959" i="1"/>
  <c r="B2959" i="1"/>
  <c r="C2958" i="1"/>
  <c r="B2958" i="1"/>
  <c r="C1413" i="1"/>
  <c r="B1413" i="1"/>
  <c r="C1412" i="1"/>
  <c r="B1412" i="1"/>
  <c r="C1410" i="1"/>
  <c r="B1410" i="1"/>
  <c r="C1408" i="1"/>
  <c r="B1408" i="1"/>
  <c r="C1406" i="1"/>
  <c r="B1406" i="1"/>
  <c r="C1404" i="1"/>
  <c r="B1404" i="1"/>
  <c r="C1400" i="1"/>
  <c r="B1400" i="1"/>
  <c r="C1399" i="1"/>
  <c r="B1399" i="1"/>
  <c r="C1401" i="1"/>
  <c r="B1401" i="1"/>
  <c r="C1397" i="1"/>
  <c r="B1397" i="1"/>
  <c r="C1396" i="1"/>
  <c r="B1396" i="1"/>
  <c r="C1391" i="1"/>
  <c r="B1391" i="1"/>
  <c r="C1393" i="1"/>
  <c r="B1393" i="1"/>
  <c r="C1390" i="1"/>
  <c r="B1390" i="1"/>
  <c r="C1392" i="1"/>
  <c r="B1392" i="1"/>
  <c r="C1388" i="1"/>
  <c r="B1388" i="1"/>
  <c r="C1387" i="1"/>
  <c r="B1387" i="1"/>
  <c r="C1384" i="1"/>
  <c r="B1384" i="1"/>
  <c r="C1380" i="1"/>
  <c r="B1380" i="1"/>
  <c r="C1381" i="1"/>
  <c r="B1381" i="1"/>
  <c r="C2795" i="1"/>
  <c r="B2795" i="1"/>
  <c r="C2794" i="1"/>
  <c r="B2794" i="1"/>
  <c r="C2790" i="1"/>
  <c r="B2790" i="1"/>
  <c r="C2793" i="1"/>
  <c r="B2793" i="1"/>
  <c r="C2792" i="1"/>
  <c r="B2792" i="1"/>
  <c r="C2791" i="1"/>
  <c r="B2791" i="1"/>
  <c r="C2796" i="1"/>
  <c r="B2796" i="1"/>
  <c r="C2787" i="1"/>
  <c r="B2787" i="1"/>
  <c r="C2781" i="1"/>
  <c r="B2781" i="1"/>
  <c r="C2786" i="1"/>
  <c r="B2786" i="1"/>
  <c r="C2785" i="1"/>
  <c r="B2785" i="1"/>
  <c r="C2784" i="1"/>
  <c r="B2784" i="1"/>
  <c r="C2783" i="1"/>
  <c r="B2783" i="1"/>
  <c r="C2782" i="1"/>
  <c r="B2782" i="1"/>
  <c r="C2780" i="1"/>
  <c r="B2780" i="1"/>
  <c r="C2788" i="1"/>
  <c r="B2788" i="1"/>
  <c r="C2778" i="1"/>
  <c r="B2778" i="1"/>
  <c r="C2777" i="1"/>
  <c r="B2777" i="1"/>
  <c r="C2769" i="1"/>
  <c r="B2769" i="1"/>
  <c r="C2776" i="1"/>
  <c r="B2776" i="1"/>
  <c r="C2775" i="1"/>
  <c r="B2775" i="1"/>
  <c r="C2774" i="1"/>
  <c r="B2774" i="1"/>
  <c r="C2773" i="1"/>
  <c r="B2773" i="1"/>
  <c r="C2772" i="1"/>
  <c r="B2772" i="1"/>
  <c r="C2768" i="1"/>
  <c r="B2768" i="1"/>
  <c r="C2771" i="1"/>
  <c r="B2771" i="1"/>
  <c r="C2770" i="1"/>
  <c r="B2770" i="1"/>
  <c r="C2833" i="1"/>
  <c r="B2833" i="1"/>
  <c r="C2832" i="1"/>
  <c r="B2832" i="1"/>
  <c r="C2831" i="1"/>
  <c r="B2831" i="1"/>
  <c r="C2830" i="1"/>
  <c r="B2830" i="1"/>
  <c r="C2828" i="1"/>
  <c r="B2828" i="1"/>
  <c r="C2834" i="1"/>
  <c r="B2834" i="1"/>
  <c r="C2829" i="1"/>
  <c r="B2829" i="1"/>
  <c r="C2826" i="1"/>
  <c r="B2826" i="1"/>
  <c r="C2825" i="1"/>
  <c r="B2825" i="1"/>
  <c r="C2057" i="1"/>
  <c r="B2057" i="1"/>
  <c r="C2055" i="1"/>
  <c r="B2055" i="1"/>
  <c r="C2052" i="1"/>
  <c r="B2052" i="1"/>
  <c r="C2053" i="1"/>
  <c r="B2053" i="1"/>
  <c r="C2051" i="1"/>
  <c r="B2051" i="1"/>
  <c r="C3851" i="1"/>
  <c r="B3851" i="1"/>
  <c r="C3852" i="1"/>
  <c r="B3852" i="1"/>
  <c r="C3848" i="1"/>
  <c r="B3848" i="1"/>
  <c r="C3850" i="1"/>
  <c r="B3850" i="1"/>
  <c r="C3849" i="1"/>
  <c r="B3849" i="1"/>
  <c r="C3846" i="1"/>
  <c r="B3846" i="1"/>
  <c r="C3845" i="1"/>
  <c r="B3845" i="1"/>
  <c r="C3844" i="1"/>
  <c r="B3844" i="1"/>
  <c r="C3843" i="1"/>
  <c r="B3843" i="1"/>
  <c r="C852" i="1"/>
  <c r="B852" i="1"/>
  <c r="C849" i="1"/>
  <c r="B849" i="1"/>
  <c r="C848" i="1"/>
  <c r="B848" i="1"/>
  <c r="C850" i="1"/>
  <c r="B850" i="1"/>
  <c r="C847" i="1"/>
  <c r="B847" i="1"/>
  <c r="C846" i="1"/>
  <c r="B846" i="1"/>
  <c r="C843" i="1"/>
  <c r="B843" i="1"/>
  <c r="C844" i="1"/>
  <c r="B844" i="1"/>
  <c r="C842" i="1"/>
  <c r="B842" i="1"/>
  <c r="C841" i="1"/>
  <c r="B841" i="1"/>
  <c r="C2823" i="1"/>
  <c r="B2823" i="1"/>
  <c r="C2820" i="1"/>
  <c r="B2820" i="1"/>
  <c r="C2819" i="1"/>
  <c r="B2819" i="1"/>
  <c r="C2815" i="1"/>
  <c r="B2815" i="1"/>
  <c r="C2818" i="1"/>
  <c r="B2818" i="1"/>
  <c r="C2821" i="1"/>
  <c r="B2821" i="1"/>
  <c r="C2817" i="1"/>
  <c r="B2817" i="1"/>
  <c r="C2816" i="1"/>
  <c r="B2816" i="1"/>
  <c r="C2812" i="1"/>
  <c r="B2812" i="1"/>
  <c r="C2813" i="1"/>
  <c r="B2813" i="1"/>
  <c r="C3772" i="1"/>
  <c r="B3772" i="1"/>
  <c r="C3771" i="1"/>
  <c r="B3771" i="1"/>
  <c r="C3773" i="1"/>
  <c r="B3773" i="1"/>
  <c r="C3770" i="1"/>
  <c r="B3770" i="1"/>
  <c r="C3769" i="1"/>
  <c r="B3769" i="1"/>
  <c r="C3767" i="1"/>
  <c r="B3767" i="1"/>
  <c r="C3766" i="1"/>
  <c r="B3766" i="1"/>
  <c r="C3430" i="1"/>
  <c r="B3430" i="1"/>
  <c r="C3429" i="1"/>
  <c r="B3429" i="1"/>
  <c r="C3428" i="1"/>
  <c r="B3428" i="1"/>
  <c r="C3431" i="1"/>
  <c r="B3431" i="1"/>
  <c r="C3427" i="1"/>
  <c r="B3427" i="1"/>
  <c r="C3426" i="1"/>
  <c r="B3426" i="1"/>
  <c r="C3421" i="1"/>
  <c r="B3421" i="1"/>
  <c r="C3424" i="1"/>
  <c r="B3424" i="1"/>
  <c r="C3423" i="1"/>
  <c r="B3423" i="1"/>
  <c r="C3422" i="1"/>
  <c r="B3422" i="1"/>
  <c r="C3420" i="1"/>
  <c r="B3420" i="1"/>
  <c r="C3419" i="1"/>
  <c r="B3419" i="1"/>
  <c r="C3418" i="1"/>
  <c r="B3418" i="1"/>
  <c r="C3416" i="1"/>
  <c r="B3416" i="1"/>
  <c r="C3417" i="1"/>
  <c r="B3417" i="1"/>
  <c r="C3415" i="1"/>
  <c r="B3415" i="1"/>
  <c r="C3413" i="1"/>
  <c r="B3413" i="1"/>
  <c r="C3410" i="1"/>
  <c r="B3410" i="1"/>
  <c r="C3409" i="1"/>
  <c r="B3409" i="1"/>
  <c r="C3412" i="1"/>
  <c r="B3412" i="1"/>
  <c r="C3411" i="1"/>
  <c r="B3411" i="1"/>
  <c r="C3408" i="1"/>
  <c r="B3408" i="1"/>
  <c r="C3407" i="1"/>
  <c r="B3407" i="1"/>
  <c r="C259" i="1"/>
  <c r="B259" i="1"/>
  <c r="C258" i="1"/>
  <c r="B258" i="1"/>
  <c r="C256" i="1"/>
  <c r="B256" i="1"/>
  <c r="C255" i="1"/>
  <c r="B255" i="1"/>
  <c r="C253" i="1"/>
  <c r="B253" i="1"/>
  <c r="C252" i="1"/>
  <c r="B252" i="1"/>
  <c r="C192" i="1"/>
  <c r="B192" i="1"/>
  <c r="C191" i="1"/>
  <c r="B191" i="1"/>
  <c r="C190" i="1"/>
  <c r="B190" i="1"/>
  <c r="C194" i="1"/>
  <c r="B194" i="1"/>
  <c r="C189" i="1"/>
  <c r="B189" i="1"/>
  <c r="C193" i="1"/>
  <c r="B193" i="1"/>
  <c r="C188" i="1"/>
  <c r="B188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5" i="1"/>
  <c r="B175" i="1"/>
  <c r="C174" i="1"/>
  <c r="B174" i="1"/>
  <c r="C173" i="1"/>
  <c r="B173" i="1"/>
  <c r="C172" i="1"/>
  <c r="B172" i="1"/>
  <c r="C171" i="1"/>
  <c r="B171" i="1"/>
  <c r="C2766" i="1"/>
  <c r="B2766" i="1"/>
  <c r="C2765" i="1"/>
  <c r="B2765" i="1"/>
  <c r="C2760" i="1"/>
  <c r="B2760" i="1"/>
  <c r="C2762" i="1"/>
  <c r="B2762" i="1"/>
  <c r="C2764" i="1"/>
  <c r="B2764" i="1"/>
  <c r="C2763" i="1"/>
  <c r="B2763" i="1"/>
  <c r="C2761" i="1"/>
  <c r="B2761" i="1"/>
  <c r="C3790" i="1"/>
  <c r="B3790" i="1"/>
  <c r="C3203" i="1"/>
  <c r="B3203" i="1"/>
  <c r="C3202" i="1"/>
  <c r="B3202" i="1"/>
  <c r="C3201" i="1"/>
  <c r="B3201" i="1"/>
  <c r="C3200" i="1"/>
  <c r="B3200" i="1"/>
  <c r="C3199" i="1"/>
  <c r="B3199" i="1"/>
  <c r="C3196" i="1"/>
  <c r="B3196" i="1"/>
  <c r="C3195" i="1"/>
  <c r="B3195" i="1"/>
  <c r="C3194" i="1"/>
  <c r="B3194" i="1"/>
  <c r="C3193" i="1"/>
  <c r="B3193" i="1"/>
  <c r="C3197" i="1"/>
  <c r="B3197" i="1"/>
  <c r="C3191" i="1"/>
  <c r="B3191" i="1"/>
  <c r="C3188" i="1"/>
  <c r="B3188" i="1"/>
  <c r="C3187" i="1"/>
  <c r="B3187" i="1"/>
  <c r="C3186" i="1"/>
  <c r="B3186" i="1"/>
  <c r="C3185" i="1"/>
  <c r="B3185" i="1"/>
  <c r="C3189" i="1"/>
  <c r="B3189" i="1"/>
  <c r="C3182" i="1"/>
  <c r="B3182" i="1"/>
  <c r="C3181" i="1"/>
  <c r="B3181" i="1"/>
  <c r="C3180" i="1"/>
  <c r="B3180" i="1"/>
  <c r="C3179" i="1"/>
  <c r="B3179" i="1"/>
  <c r="C3183" i="1"/>
  <c r="B3183" i="1"/>
  <c r="C765" i="1"/>
  <c r="B765" i="1"/>
  <c r="C764" i="1"/>
  <c r="B764" i="1"/>
  <c r="C763" i="1"/>
  <c r="B763" i="1"/>
  <c r="C762" i="1"/>
  <c r="B762" i="1"/>
  <c r="C760" i="1"/>
  <c r="B760" i="1"/>
  <c r="C759" i="1"/>
  <c r="B759" i="1"/>
  <c r="C758" i="1"/>
  <c r="B758" i="1"/>
  <c r="C2257" i="1"/>
  <c r="B2257" i="1"/>
  <c r="C2256" i="1"/>
  <c r="B2256" i="1"/>
  <c r="C2255" i="1"/>
  <c r="B2255" i="1"/>
  <c r="C2254" i="1"/>
  <c r="B2254" i="1"/>
  <c r="C1259" i="1"/>
  <c r="B1259" i="1"/>
  <c r="C1258" i="1"/>
  <c r="B1258" i="1"/>
  <c r="C1260" i="1"/>
  <c r="B1260" i="1"/>
  <c r="C1257" i="1"/>
  <c r="B1257" i="1"/>
  <c r="C1256" i="1"/>
  <c r="B1256" i="1"/>
  <c r="C1255" i="1"/>
  <c r="B1255" i="1"/>
  <c r="C1261" i="1"/>
  <c r="B1261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204" i="1"/>
  <c r="B204" i="1"/>
  <c r="C205" i="1"/>
  <c r="B205" i="1"/>
  <c r="C201" i="1"/>
  <c r="B201" i="1"/>
  <c r="C202" i="1"/>
  <c r="B202" i="1"/>
  <c r="C197" i="1"/>
  <c r="B197" i="1"/>
  <c r="C198" i="1"/>
  <c r="B198" i="1"/>
  <c r="C199" i="1"/>
  <c r="B199" i="1"/>
  <c r="C2549" i="1"/>
  <c r="B2549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3482" i="1"/>
  <c r="B3482" i="1"/>
  <c r="C3476" i="1"/>
  <c r="B3476" i="1"/>
  <c r="C3481" i="1"/>
  <c r="B3481" i="1"/>
  <c r="C3480" i="1"/>
  <c r="B3480" i="1"/>
  <c r="C3479" i="1"/>
  <c r="B3479" i="1"/>
  <c r="C3478" i="1"/>
  <c r="B3478" i="1"/>
  <c r="C3483" i="1"/>
  <c r="B3483" i="1"/>
  <c r="C3477" i="1"/>
  <c r="B3477" i="1"/>
  <c r="C3470" i="1"/>
  <c r="B3470" i="1"/>
  <c r="C3473" i="1"/>
  <c r="B3473" i="1"/>
  <c r="C3472" i="1"/>
  <c r="B3472" i="1"/>
  <c r="C3471" i="1"/>
  <c r="B3471" i="1"/>
  <c r="C3474" i="1"/>
  <c r="B3474" i="1"/>
  <c r="C3467" i="1"/>
  <c r="B3467" i="1"/>
  <c r="C3466" i="1"/>
  <c r="B3466" i="1"/>
  <c r="C3462" i="1"/>
  <c r="B3462" i="1"/>
  <c r="C3465" i="1"/>
  <c r="B3465" i="1"/>
  <c r="C3464" i="1"/>
  <c r="B3464" i="1"/>
  <c r="C3468" i="1"/>
  <c r="B3468" i="1"/>
  <c r="C3463" i="1"/>
  <c r="B3463" i="1"/>
  <c r="C3455" i="1"/>
  <c r="B3455" i="1"/>
  <c r="C3459" i="1"/>
  <c r="B3459" i="1"/>
  <c r="C3458" i="1"/>
  <c r="B3458" i="1"/>
  <c r="C3457" i="1"/>
  <c r="B3457" i="1"/>
  <c r="C3460" i="1"/>
  <c r="B3460" i="1"/>
  <c r="C3456" i="1"/>
  <c r="B3456" i="1"/>
  <c r="C303" i="1"/>
  <c r="B303" i="1"/>
  <c r="C302" i="1"/>
  <c r="B302" i="1"/>
  <c r="C638" i="1"/>
  <c r="B638" i="1"/>
  <c r="C637" i="1"/>
  <c r="B637" i="1"/>
  <c r="C634" i="1"/>
  <c r="B634" i="1"/>
  <c r="C633" i="1"/>
  <c r="B633" i="1"/>
  <c r="C635" i="1"/>
  <c r="B635" i="1"/>
  <c r="C632" i="1"/>
  <c r="B632" i="1"/>
  <c r="C631" i="1"/>
  <c r="B631" i="1"/>
  <c r="C630" i="1"/>
  <c r="B630" i="1"/>
  <c r="C629" i="1"/>
  <c r="B629" i="1"/>
  <c r="C623" i="1"/>
  <c r="B623" i="1"/>
  <c r="C626" i="1"/>
  <c r="B626" i="1"/>
  <c r="C627" i="1"/>
  <c r="B627" i="1"/>
  <c r="C625" i="1"/>
  <c r="B625" i="1"/>
  <c r="C624" i="1"/>
  <c r="B624" i="1"/>
  <c r="C621" i="1"/>
  <c r="B621" i="1"/>
  <c r="C620" i="1"/>
  <c r="B620" i="1"/>
  <c r="C617" i="1"/>
  <c r="B617" i="1"/>
  <c r="C618" i="1"/>
  <c r="B618" i="1"/>
  <c r="C616" i="1"/>
  <c r="B616" i="1"/>
  <c r="C615" i="1"/>
  <c r="B615" i="1"/>
  <c r="C614" i="1"/>
  <c r="B614" i="1"/>
  <c r="C613" i="1"/>
  <c r="B613" i="1"/>
  <c r="C612" i="1"/>
  <c r="B612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1841" i="1"/>
  <c r="B1841" i="1"/>
  <c r="C1842" i="1"/>
  <c r="B1842" i="1"/>
  <c r="C1840" i="1"/>
  <c r="B1840" i="1"/>
  <c r="C1838" i="1"/>
  <c r="B1838" i="1"/>
  <c r="C1837" i="1"/>
  <c r="B1837" i="1"/>
  <c r="C1836" i="1"/>
  <c r="B1836" i="1"/>
  <c r="C1199" i="1"/>
  <c r="B1199" i="1"/>
  <c r="C1202" i="1"/>
  <c r="B1202" i="1"/>
  <c r="C1201" i="1"/>
  <c r="B1201" i="1"/>
  <c r="C1200" i="1"/>
  <c r="B1200" i="1"/>
  <c r="C161" i="1"/>
  <c r="B161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2" i="1"/>
  <c r="B162" i="1"/>
  <c r="C163" i="1"/>
  <c r="B163" i="1"/>
  <c r="C158" i="1"/>
  <c r="B158" i="1"/>
  <c r="C157" i="1"/>
  <c r="B157" i="1"/>
  <c r="C159" i="1"/>
  <c r="B159" i="1"/>
  <c r="C156" i="1"/>
  <c r="B156" i="1"/>
  <c r="C154" i="1"/>
  <c r="B154" i="1"/>
  <c r="C155" i="1"/>
  <c r="B155" i="1"/>
  <c r="C152" i="1"/>
  <c r="B152" i="1"/>
  <c r="C151" i="1"/>
  <c r="B151" i="1"/>
  <c r="C150" i="1"/>
  <c r="B150" i="1"/>
  <c r="C153" i="1"/>
  <c r="B153" i="1"/>
  <c r="C149" i="1"/>
  <c r="B149" i="1"/>
  <c r="C148" i="1"/>
  <c r="B148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3369" i="1"/>
  <c r="B3369" i="1"/>
  <c r="C3368" i="1"/>
  <c r="B3368" i="1"/>
  <c r="C3367" i="1"/>
  <c r="B3367" i="1"/>
  <c r="C3364" i="1"/>
  <c r="B3364" i="1"/>
  <c r="C3363" i="1"/>
  <c r="B3363" i="1"/>
  <c r="C3365" i="1"/>
  <c r="B3365" i="1"/>
  <c r="C3362" i="1"/>
  <c r="B3362" i="1"/>
  <c r="C3361" i="1"/>
  <c r="B3361" i="1"/>
  <c r="C3358" i="1"/>
  <c r="B3358" i="1"/>
  <c r="C3357" i="1"/>
  <c r="B3357" i="1"/>
  <c r="C3356" i="1"/>
  <c r="B3356" i="1"/>
  <c r="C3359" i="1"/>
  <c r="B3359" i="1"/>
  <c r="C3354" i="1"/>
  <c r="B3354" i="1"/>
  <c r="C3353" i="1"/>
  <c r="B3353" i="1"/>
  <c r="C3352" i="1"/>
  <c r="B3352" i="1"/>
  <c r="C3351" i="1"/>
  <c r="B3351" i="1"/>
  <c r="C3355" i="1"/>
  <c r="B3355" i="1"/>
  <c r="C3350" i="1"/>
  <c r="B3350" i="1"/>
  <c r="C1833" i="1"/>
  <c r="B1833" i="1"/>
  <c r="C1832" i="1"/>
  <c r="B1832" i="1"/>
  <c r="C1831" i="1"/>
  <c r="B1831" i="1"/>
  <c r="C1830" i="1"/>
  <c r="B1830" i="1"/>
  <c r="C1834" i="1"/>
  <c r="B1834" i="1"/>
  <c r="C1829" i="1"/>
  <c r="B1829" i="1"/>
  <c r="C1828" i="1"/>
  <c r="B1828" i="1"/>
  <c r="C1825" i="1"/>
  <c r="B1825" i="1"/>
  <c r="C1824" i="1"/>
  <c r="B1824" i="1"/>
  <c r="C1826" i="1"/>
  <c r="B1826" i="1"/>
  <c r="C1823" i="1"/>
  <c r="B1823" i="1"/>
  <c r="C1862" i="1"/>
  <c r="B1862" i="1"/>
  <c r="C1861" i="1"/>
  <c r="B1861" i="1"/>
  <c r="C1859" i="1"/>
  <c r="B1859" i="1"/>
  <c r="C1858" i="1"/>
  <c r="B1858" i="1"/>
  <c r="C1820" i="1"/>
  <c r="B1820" i="1"/>
  <c r="C1819" i="1"/>
  <c r="B1819" i="1"/>
  <c r="C1818" i="1"/>
  <c r="B1818" i="1"/>
  <c r="C1821" i="1"/>
  <c r="B1821" i="1"/>
  <c r="C1817" i="1"/>
  <c r="B1817" i="1"/>
  <c r="C1816" i="1"/>
  <c r="B1816" i="1"/>
  <c r="C3871" i="1"/>
  <c r="B3871" i="1"/>
  <c r="C3870" i="1"/>
  <c r="B3870" i="1"/>
  <c r="C2282" i="1"/>
  <c r="B2282" i="1"/>
  <c r="C2281" i="1"/>
  <c r="B2281" i="1"/>
  <c r="C2280" i="1"/>
  <c r="B2280" i="1"/>
  <c r="C2278" i="1"/>
  <c r="B2278" i="1"/>
  <c r="C2277" i="1"/>
  <c r="B2277" i="1"/>
  <c r="C2276" i="1"/>
  <c r="B2276" i="1"/>
  <c r="C2275" i="1"/>
  <c r="B2275" i="1"/>
  <c r="C2213" i="1"/>
  <c r="B2213" i="1"/>
  <c r="C2211" i="1"/>
  <c r="B2211" i="1"/>
  <c r="C1539" i="1"/>
  <c r="B1539" i="1"/>
  <c r="C1538" i="1"/>
  <c r="B1538" i="1"/>
  <c r="C1540" i="1"/>
  <c r="B1540" i="1"/>
  <c r="C1537" i="1"/>
  <c r="B1537" i="1"/>
  <c r="C1536" i="1"/>
  <c r="B1536" i="1"/>
  <c r="C1534" i="1"/>
  <c r="B1534" i="1"/>
  <c r="C1535" i="1"/>
  <c r="B1535" i="1"/>
  <c r="C1530" i="1"/>
  <c r="B1530" i="1"/>
  <c r="C1528" i="1"/>
  <c r="B1528" i="1"/>
  <c r="C1532" i="1"/>
  <c r="B1532" i="1"/>
  <c r="C1529" i="1"/>
  <c r="B1529" i="1"/>
  <c r="C1531" i="1"/>
  <c r="B1531" i="1"/>
  <c r="C565" i="1"/>
  <c r="B565" i="1"/>
  <c r="C564" i="1"/>
  <c r="B564" i="1"/>
  <c r="C562" i="1"/>
  <c r="B562" i="1"/>
  <c r="C561" i="1"/>
  <c r="B561" i="1"/>
  <c r="C28" i="1"/>
  <c r="B28" i="1"/>
  <c r="C26" i="1"/>
  <c r="B26" i="1"/>
  <c r="C24" i="1"/>
  <c r="B24" i="1"/>
  <c r="C3347" i="1"/>
  <c r="B3347" i="1"/>
  <c r="C3346" i="1"/>
  <c r="B3346" i="1"/>
  <c r="C3348" i="1"/>
  <c r="B3348" i="1"/>
  <c r="C3345" i="1"/>
  <c r="B3345" i="1"/>
  <c r="C3342" i="1"/>
  <c r="B3342" i="1"/>
  <c r="C3341" i="1"/>
  <c r="B3341" i="1"/>
  <c r="C3340" i="1"/>
  <c r="B3340" i="1"/>
  <c r="C3343" i="1"/>
  <c r="B3343" i="1"/>
  <c r="C3339" i="1"/>
  <c r="B3339" i="1"/>
  <c r="C3338" i="1"/>
  <c r="B3338" i="1"/>
  <c r="C1942" i="1"/>
  <c r="B1942" i="1"/>
  <c r="C1944" i="1"/>
  <c r="B1944" i="1"/>
  <c r="C1943" i="1"/>
  <c r="B1943" i="1"/>
  <c r="C1940" i="1"/>
  <c r="B1940" i="1"/>
  <c r="C1939" i="1"/>
  <c r="B1939" i="1"/>
  <c r="C1938" i="1"/>
  <c r="B1938" i="1"/>
  <c r="C384" i="1"/>
  <c r="B384" i="1"/>
  <c r="C383" i="1"/>
  <c r="B383" i="1"/>
  <c r="C2754" i="1"/>
  <c r="B2754" i="1"/>
  <c r="C2753" i="1"/>
  <c r="B2753" i="1"/>
  <c r="C2751" i="1"/>
  <c r="B2751" i="1"/>
  <c r="C2250" i="1"/>
  <c r="B2250" i="1"/>
  <c r="C2249" i="1"/>
  <c r="B2249" i="1"/>
  <c r="C2251" i="1"/>
  <c r="B2251" i="1"/>
  <c r="C1377" i="1"/>
  <c r="B1377" i="1"/>
  <c r="C1376" i="1"/>
  <c r="B1376" i="1"/>
  <c r="C1375" i="1"/>
  <c r="B1375" i="1"/>
  <c r="C1373" i="1"/>
  <c r="B1373" i="1"/>
  <c r="C1372" i="1"/>
  <c r="B1372" i="1"/>
  <c r="C1371" i="1"/>
  <c r="B1371" i="1"/>
  <c r="C1370" i="1"/>
  <c r="B1370" i="1"/>
  <c r="C1368" i="1"/>
  <c r="B1368" i="1"/>
  <c r="C1367" i="1"/>
  <c r="B1367" i="1"/>
  <c r="C1366" i="1"/>
  <c r="B1366" i="1"/>
  <c r="C1363" i="1"/>
  <c r="B1363" i="1"/>
  <c r="C1362" i="1"/>
  <c r="B1362" i="1"/>
  <c r="C1361" i="1"/>
  <c r="B1361" i="1"/>
  <c r="C672" i="1"/>
  <c r="B672" i="1"/>
  <c r="C671" i="1"/>
  <c r="B671" i="1"/>
  <c r="C673" i="1"/>
  <c r="B673" i="1"/>
  <c r="C668" i="1"/>
  <c r="B668" i="1"/>
  <c r="C667" i="1"/>
  <c r="B667" i="1"/>
  <c r="C669" i="1"/>
  <c r="B669" i="1"/>
  <c r="C655" i="1"/>
  <c r="B655" i="1"/>
  <c r="C651" i="1"/>
  <c r="B651" i="1"/>
  <c r="C654" i="1"/>
  <c r="B654" i="1"/>
  <c r="C653" i="1"/>
  <c r="B653" i="1"/>
  <c r="C652" i="1"/>
  <c r="B652" i="1"/>
  <c r="C649" i="1"/>
  <c r="B649" i="1"/>
  <c r="C648" i="1"/>
  <c r="B648" i="1"/>
  <c r="C644" i="1"/>
  <c r="B644" i="1"/>
  <c r="C643" i="1"/>
  <c r="B643" i="1"/>
  <c r="C646" i="1"/>
  <c r="B646" i="1"/>
  <c r="C645" i="1"/>
  <c r="B645" i="1"/>
  <c r="C641" i="1"/>
  <c r="B641" i="1"/>
  <c r="C452" i="1"/>
  <c r="B452" i="1"/>
  <c r="C455" i="1"/>
  <c r="B455" i="1"/>
  <c r="C451" i="1"/>
  <c r="B451" i="1"/>
  <c r="C450" i="1"/>
  <c r="B450" i="1"/>
  <c r="C457" i="1"/>
  <c r="B457" i="1"/>
  <c r="C454" i="1"/>
  <c r="B454" i="1"/>
  <c r="C453" i="1"/>
  <c r="B453" i="1"/>
  <c r="C456" i="1"/>
  <c r="B456" i="1"/>
  <c r="C444" i="1"/>
  <c r="B444" i="1"/>
  <c r="C448" i="1"/>
  <c r="B448" i="1"/>
  <c r="C443" i="1"/>
  <c r="B443" i="1"/>
  <c r="C447" i="1"/>
  <c r="B447" i="1"/>
  <c r="C446" i="1"/>
  <c r="B446" i="1"/>
  <c r="C445" i="1"/>
  <c r="B445" i="1"/>
  <c r="C441" i="1"/>
  <c r="B441" i="1"/>
  <c r="C440" i="1"/>
  <c r="B440" i="1"/>
  <c r="C439" i="1"/>
  <c r="B439" i="1"/>
  <c r="C438" i="1"/>
  <c r="B438" i="1"/>
  <c r="C436" i="1"/>
  <c r="B436" i="1"/>
  <c r="C437" i="1"/>
  <c r="B437" i="1"/>
  <c r="C435" i="1"/>
  <c r="B435" i="1"/>
  <c r="C434" i="1"/>
  <c r="B434" i="1"/>
  <c r="C432" i="1"/>
  <c r="B432" i="1"/>
  <c r="C431" i="1"/>
  <c r="B431" i="1"/>
  <c r="C3826" i="1"/>
  <c r="B3826" i="1"/>
  <c r="C3825" i="1"/>
  <c r="B3825" i="1"/>
  <c r="C3810" i="1"/>
  <c r="B3810" i="1"/>
  <c r="C3812" i="1"/>
  <c r="B3812" i="1"/>
  <c r="C3809" i="1"/>
  <c r="B3809" i="1"/>
  <c r="C3811" i="1"/>
  <c r="B3811" i="1"/>
  <c r="C3808" i="1"/>
  <c r="B3808" i="1"/>
  <c r="C3807" i="1"/>
  <c r="B3807" i="1"/>
  <c r="C3803" i="1"/>
  <c r="B3803" i="1"/>
  <c r="C3802" i="1"/>
  <c r="B3802" i="1"/>
  <c r="C3805" i="1"/>
  <c r="B3805" i="1"/>
  <c r="C3804" i="1"/>
  <c r="B3804" i="1"/>
  <c r="C3801" i="1"/>
  <c r="B3801" i="1"/>
  <c r="C3800" i="1"/>
  <c r="B3800" i="1"/>
  <c r="C3798" i="1"/>
  <c r="B3798" i="1"/>
  <c r="C3795" i="1"/>
  <c r="B3795" i="1"/>
  <c r="C3794" i="1"/>
  <c r="B3794" i="1"/>
  <c r="C3793" i="1"/>
  <c r="B3793" i="1"/>
  <c r="C3796" i="1"/>
  <c r="B3796" i="1"/>
  <c r="C3780" i="1"/>
  <c r="B3780" i="1"/>
  <c r="C3779" i="1"/>
  <c r="B3779" i="1"/>
  <c r="C3778" i="1"/>
  <c r="B3778" i="1"/>
  <c r="C3781" i="1"/>
  <c r="B3781" i="1"/>
  <c r="C3776" i="1"/>
  <c r="B3776" i="1"/>
  <c r="C3763" i="1"/>
  <c r="B3763" i="1"/>
  <c r="C3762" i="1"/>
  <c r="B3762" i="1"/>
  <c r="C3760" i="1"/>
  <c r="B3760" i="1"/>
  <c r="C3759" i="1"/>
  <c r="B3759" i="1"/>
  <c r="C3758" i="1"/>
  <c r="B3758" i="1"/>
  <c r="C3761" i="1"/>
  <c r="B3761" i="1"/>
  <c r="C3756" i="1"/>
  <c r="B3756" i="1"/>
  <c r="C3754" i="1"/>
  <c r="B3754" i="1"/>
  <c r="C3667" i="1"/>
  <c r="B3667" i="1"/>
  <c r="C3666" i="1"/>
  <c r="B3666" i="1"/>
  <c r="C3660" i="1"/>
  <c r="B3660" i="1"/>
  <c r="C3658" i="1"/>
  <c r="B3658" i="1"/>
  <c r="C3657" i="1"/>
  <c r="B3657" i="1"/>
  <c r="C3648" i="1"/>
  <c r="B3648" i="1"/>
  <c r="C3646" i="1"/>
  <c r="B3646" i="1"/>
  <c r="C3645" i="1"/>
  <c r="B3645" i="1"/>
  <c r="C3647" i="1"/>
  <c r="B3647" i="1"/>
  <c r="C3642" i="1"/>
  <c r="B3642" i="1"/>
  <c r="C3643" i="1"/>
  <c r="B3643" i="1"/>
  <c r="C3641" i="1"/>
  <c r="B3641" i="1"/>
  <c r="C3640" i="1"/>
  <c r="B3640" i="1"/>
  <c r="C3630" i="1"/>
  <c r="B3630" i="1"/>
  <c r="C3631" i="1"/>
  <c r="B3631" i="1"/>
  <c r="C3596" i="1"/>
  <c r="B3596" i="1"/>
  <c r="C3597" i="1"/>
  <c r="B3597" i="1"/>
  <c r="C3595" i="1"/>
  <c r="B3595" i="1"/>
  <c r="C3593" i="1"/>
  <c r="B3593" i="1"/>
  <c r="C3589" i="1"/>
  <c r="B3589" i="1"/>
  <c r="C3588" i="1"/>
  <c r="B3588" i="1"/>
  <c r="C3587" i="1"/>
  <c r="B3587" i="1"/>
  <c r="C3586" i="1"/>
  <c r="B3586" i="1"/>
  <c r="C3590" i="1"/>
  <c r="B3590" i="1"/>
  <c r="C3585" i="1"/>
  <c r="B3585" i="1"/>
  <c r="C3582" i="1"/>
  <c r="B3582" i="1"/>
  <c r="C3584" i="1"/>
  <c r="B3584" i="1"/>
  <c r="C3591" i="1"/>
  <c r="B3591" i="1"/>
  <c r="C3583" i="1"/>
  <c r="B3583" i="1"/>
  <c r="C3581" i="1"/>
  <c r="B3581" i="1"/>
  <c r="C3578" i="1"/>
  <c r="B3578" i="1"/>
  <c r="C3579" i="1"/>
  <c r="B3579" i="1"/>
  <c r="C3577" i="1"/>
  <c r="B3577" i="1"/>
  <c r="C3576" i="1"/>
  <c r="B3576" i="1"/>
  <c r="C3575" i="1"/>
  <c r="B3575" i="1"/>
  <c r="C3574" i="1"/>
  <c r="B3574" i="1"/>
  <c r="C3569" i="1"/>
  <c r="B3569" i="1"/>
  <c r="C3568" i="1"/>
  <c r="B3568" i="1"/>
  <c r="C3567" i="1"/>
  <c r="B3567" i="1"/>
  <c r="C3571" i="1"/>
  <c r="B3571" i="1"/>
  <c r="C3566" i="1"/>
  <c r="B3566" i="1"/>
  <c r="C3572" i="1"/>
  <c r="B3572" i="1"/>
  <c r="C3565" i="1"/>
  <c r="B3565" i="1"/>
  <c r="C3564" i="1"/>
  <c r="B3564" i="1"/>
  <c r="C3570" i="1"/>
  <c r="B3570" i="1"/>
  <c r="C3525" i="1"/>
  <c r="B3525" i="1"/>
  <c r="C3524" i="1"/>
  <c r="B3524" i="1"/>
  <c r="C3523" i="1"/>
  <c r="B3523" i="1"/>
  <c r="C3526" i="1"/>
  <c r="B3526" i="1"/>
  <c r="C3521" i="1"/>
  <c r="B3521" i="1"/>
  <c r="C3522" i="1"/>
  <c r="B3522" i="1"/>
  <c r="C3519" i="1"/>
  <c r="B3519" i="1"/>
  <c r="C3518" i="1"/>
  <c r="B3518" i="1"/>
  <c r="C3516" i="1"/>
  <c r="B3516" i="1"/>
  <c r="C3515" i="1"/>
  <c r="B3515" i="1"/>
  <c r="C3514" i="1"/>
  <c r="B3514" i="1"/>
  <c r="C3511" i="1"/>
  <c r="B3511" i="1"/>
  <c r="C3513" i="1"/>
  <c r="B3513" i="1"/>
  <c r="C3512" i="1"/>
  <c r="B3512" i="1"/>
  <c r="C3509" i="1"/>
  <c r="B3509" i="1"/>
  <c r="C3508" i="1"/>
  <c r="B3508" i="1"/>
  <c r="C3507" i="1"/>
  <c r="B3507" i="1"/>
  <c r="C3505" i="1"/>
  <c r="B3505" i="1"/>
  <c r="C3504" i="1"/>
  <c r="B3504" i="1"/>
  <c r="C3503" i="1"/>
  <c r="B3503" i="1"/>
  <c r="C3502" i="1"/>
  <c r="B3502" i="1"/>
  <c r="C3500" i="1"/>
  <c r="B3500" i="1"/>
  <c r="C3501" i="1"/>
  <c r="B3501" i="1"/>
  <c r="C3498" i="1"/>
  <c r="B3498" i="1"/>
  <c r="C3497" i="1"/>
  <c r="B3497" i="1"/>
  <c r="C3496" i="1"/>
  <c r="B3496" i="1"/>
  <c r="C3495" i="1"/>
  <c r="B3495" i="1"/>
  <c r="C3493" i="1"/>
  <c r="B3493" i="1"/>
  <c r="C3491" i="1"/>
  <c r="B3491" i="1"/>
  <c r="C3490" i="1"/>
  <c r="B3490" i="1"/>
  <c r="C3489" i="1"/>
  <c r="B3489" i="1"/>
  <c r="C3488" i="1"/>
  <c r="B3488" i="1"/>
  <c r="C3487" i="1"/>
  <c r="B3487" i="1"/>
  <c r="C3486" i="1"/>
  <c r="B3486" i="1"/>
  <c r="C3335" i="1"/>
  <c r="B3335" i="1"/>
  <c r="C3334" i="1"/>
  <c r="B3334" i="1"/>
  <c r="C3332" i="1"/>
  <c r="B3332" i="1"/>
  <c r="C3331" i="1"/>
  <c r="B3331" i="1"/>
  <c r="C3176" i="1"/>
  <c r="B3176" i="1"/>
  <c r="C3175" i="1"/>
  <c r="B3175" i="1"/>
  <c r="C3174" i="1"/>
  <c r="B3174" i="1"/>
  <c r="C3173" i="1"/>
  <c r="B3173" i="1"/>
  <c r="C3171" i="1"/>
  <c r="B3171" i="1"/>
  <c r="C3170" i="1"/>
  <c r="B3170" i="1"/>
  <c r="C3169" i="1"/>
  <c r="B3169" i="1"/>
  <c r="C3167" i="1"/>
  <c r="B3167" i="1"/>
  <c r="C3166" i="1"/>
  <c r="B3166" i="1"/>
  <c r="C3163" i="1"/>
  <c r="B3163" i="1"/>
  <c r="C3162" i="1"/>
  <c r="B3162" i="1"/>
  <c r="C3161" i="1"/>
  <c r="B3161" i="1"/>
  <c r="C3160" i="1"/>
  <c r="B3160" i="1"/>
  <c r="C3158" i="1"/>
  <c r="B3158" i="1"/>
  <c r="C3157" i="1"/>
  <c r="B3157" i="1"/>
  <c r="C3156" i="1"/>
  <c r="B3156" i="1"/>
  <c r="C3154" i="1"/>
  <c r="B3154" i="1"/>
  <c r="C3152" i="1"/>
  <c r="B3152" i="1"/>
  <c r="C3151" i="1"/>
  <c r="B3151" i="1"/>
  <c r="C3150" i="1"/>
  <c r="B3150" i="1"/>
  <c r="C3149" i="1"/>
  <c r="B3149" i="1"/>
  <c r="C3148" i="1"/>
  <c r="B3148" i="1"/>
  <c r="C3146" i="1"/>
  <c r="B3146" i="1"/>
  <c r="C3145" i="1"/>
  <c r="B3145" i="1"/>
  <c r="C3144" i="1"/>
  <c r="B3144" i="1"/>
  <c r="C3143" i="1"/>
  <c r="B3143" i="1"/>
  <c r="C3141" i="1"/>
  <c r="B3141" i="1"/>
  <c r="C3139" i="1"/>
  <c r="B3139" i="1"/>
  <c r="C3138" i="1"/>
  <c r="B3138" i="1"/>
  <c r="C3137" i="1"/>
  <c r="B3137" i="1"/>
  <c r="C3136" i="1"/>
  <c r="B3136" i="1"/>
  <c r="C3134" i="1"/>
  <c r="B3134" i="1"/>
  <c r="C3132" i="1"/>
  <c r="B3132" i="1"/>
  <c r="C3123" i="1"/>
  <c r="B3123" i="1"/>
  <c r="C3125" i="1"/>
  <c r="B3125" i="1"/>
  <c r="C3122" i="1"/>
  <c r="B3122" i="1"/>
  <c r="C3124" i="1"/>
  <c r="B3124" i="1"/>
  <c r="C3121" i="1"/>
  <c r="B3121" i="1"/>
  <c r="C3119" i="1"/>
  <c r="B3119" i="1"/>
  <c r="C3118" i="1"/>
  <c r="B3118" i="1"/>
  <c r="C3117" i="1"/>
  <c r="B3117" i="1"/>
  <c r="C3116" i="1"/>
  <c r="B3116" i="1"/>
  <c r="C3111" i="1"/>
  <c r="B3111" i="1"/>
  <c r="C3113" i="1"/>
  <c r="B3113" i="1"/>
  <c r="C3110" i="1"/>
  <c r="B3110" i="1"/>
  <c r="C3109" i="1"/>
  <c r="B3109" i="1"/>
  <c r="C3108" i="1"/>
  <c r="B3108" i="1"/>
  <c r="C3107" i="1"/>
  <c r="B3107" i="1"/>
  <c r="C3112" i="1"/>
  <c r="B3112" i="1"/>
  <c r="C3104" i="1"/>
  <c r="B3104" i="1"/>
  <c r="C3105" i="1"/>
  <c r="B3105" i="1"/>
  <c r="C3103" i="1"/>
  <c r="B3103" i="1"/>
  <c r="C3102" i="1"/>
  <c r="B3102" i="1"/>
  <c r="C3101" i="1"/>
  <c r="B3101" i="1"/>
  <c r="C3096" i="1"/>
  <c r="B3096" i="1"/>
  <c r="C3097" i="1"/>
  <c r="B3097" i="1"/>
  <c r="C3095" i="1"/>
  <c r="B3095" i="1"/>
  <c r="C3094" i="1"/>
  <c r="B3094" i="1"/>
  <c r="C3098" i="1"/>
  <c r="B3098" i="1"/>
  <c r="C3089" i="1"/>
  <c r="B3089" i="1"/>
  <c r="C3092" i="1"/>
  <c r="B3092" i="1"/>
  <c r="C3091" i="1"/>
  <c r="B3091" i="1"/>
  <c r="C3088" i="1"/>
  <c r="B3088" i="1"/>
  <c r="C3090" i="1"/>
  <c r="B3090" i="1"/>
  <c r="C3085" i="1"/>
  <c r="B3085" i="1"/>
  <c r="C3086" i="1"/>
  <c r="B3086" i="1"/>
  <c r="C3083" i="1"/>
  <c r="B3083" i="1"/>
  <c r="C3079" i="1"/>
  <c r="B3079" i="1"/>
  <c r="C3080" i="1"/>
  <c r="B3080" i="1"/>
  <c r="C3077" i="1"/>
  <c r="B3077" i="1"/>
  <c r="C3075" i="1"/>
  <c r="B3075" i="1"/>
  <c r="C3074" i="1"/>
  <c r="B3074" i="1"/>
  <c r="C3072" i="1"/>
  <c r="B3072" i="1"/>
  <c r="C3053" i="1"/>
  <c r="B3053" i="1"/>
  <c r="C3052" i="1"/>
  <c r="B3052" i="1"/>
  <c r="C3050" i="1"/>
  <c r="B3050" i="1"/>
  <c r="C3049" i="1"/>
  <c r="B3049" i="1"/>
  <c r="C3047" i="1"/>
  <c r="B3047" i="1"/>
  <c r="C3046" i="1"/>
  <c r="B3046" i="1"/>
  <c r="C3044" i="1"/>
  <c r="B3044" i="1"/>
  <c r="C3043" i="1"/>
  <c r="B3043" i="1"/>
  <c r="C3041" i="1"/>
  <c r="B3041" i="1"/>
  <c r="C3040" i="1"/>
  <c r="B3040" i="1"/>
  <c r="C3038" i="1"/>
  <c r="B3038" i="1"/>
  <c r="C3037" i="1"/>
  <c r="B3037" i="1"/>
  <c r="C3029" i="1"/>
  <c r="B3029" i="1"/>
  <c r="C3028" i="1"/>
  <c r="B3028" i="1"/>
  <c r="C3027" i="1"/>
  <c r="B3027" i="1"/>
  <c r="C3025" i="1"/>
  <c r="B3025" i="1"/>
  <c r="C3024" i="1"/>
  <c r="B3024" i="1"/>
  <c r="C3022" i="1"/>
  <c r="B3022" i="1"/>
  <c r="C3021" i="1"/>
  <c r="B3021" i="1"/>
  <c r="C3017" i="1"/>
  <c r="B3017" i="1"/>
  <c r="C3016" i="1"/>
  <c r="B3016" i="1"/>
  <c r="C3018" i="1"/>
  <c r="B3018" i="1"/>
  <c r="C3014" i="1"/>
  <c r="B3014" i="1"/>
  <c r="C3012" i="1"/>
  <c r="B3012" i="1"/>
  <c r="C3011" i="1"/>
  <c r="B3011" i="1"/>
  <c r="C3013" i="1"/>
  <c r="B3013" i="1"/>
  <c r="C3009" i="1"/>
  <c r="B3009" i="1"/>
  <c r="C2713" i="1"/>
  <c r="B2713" i="1"/>
  <c r="C2712" i="1"/>
  <c r="B2712" i="1"/>
  <c r="C2710" i="1"/>
  <c r="B2710" i="1"/>
  <c r="C2709" i="1"/>
  <c r="B2709" i="1"/>
  <c r="C2599" i="1"/>
  <c r="B2599" i="1"/>
  <c r="C2598" i="1"/>
  <c r="B2598" i="1"/>
  <c r="C2597" i="1"/>
  <c r="B2597" i="1"/>
  <c r="C2595" i="1"/>
  <c r="B2595" i="1"/>
  <c r="C2594" i="1"/>
  <c r="B2594" i="1"/>
  <c r="C2593" i="1"/>
  <c r="B2593" i="1"/>
  <c r="C2547" i="1"/>
  <c r="B2547" i="1"/>
  <c r="C2546" i="1"/>
  <c r="B2546" i="1"/>
  <c r="C2538" i="1"/>
  <c r="B2538" i="1"/>
  <c r="C2543" i="1"/>
  <c r="B2543" i="1"/>
  <c r="C2544" i="1"/>
  <c r="B2544" i="1"/>
  <c r="C2537" i="1"/>
  <c r="B2537" i="1"/>
  <c r="C2541" i="1"/>
  <c r="B2541" i="1"/>
  <c r="C2542" i="1"/>
  <c r="B2542" i="1"/>
  <c r="C2540" i="1"/>
  <c r="B2540" i="1"/>
  <c r="C2539" i="1"/>
  <c r="B2539" i="1"/>
  <c r="C2534" i="1"/>
  <c r="B2534" i="1"/>
  <c r="C2535" i="1"/>
  <c r="B2535" i="1"/>
  <c r="C2533" i="1"/>
  <c r="B2533" i="1"/>
  <c r="C2532" i="1"/>
  <c r="B2532" i="1"/>
  <c r="C2531" i="1"/>
  <c r="B2531" i="1"/>
  <c r="C2529" i="1"/>
  <c r="B2529" i="1"/>
  <c r="C2528" i="1"/>
  <c r="B2528" i="1"/>
  <c r="C2527" i="1"/>
  <c r="B2527" i="1"/>
  <c r="C2526" i="1"/>
  <c r="B2526" i="1"/>
  <c r="C2523" i="1"/>
  <c r="B2523" i="1"/>
  <c r="C2524" i="1"/>
  <c r="B2524" i="1"/>
  <c r="C2522" i="1"/>
  <c r="B2522" i="1"/>
  <c r="C2520" i="1"/>
  <c r="B2520" i="1"/>
  <c r="C2521" i="1"/>
  <c r="B2521" i="1"/>
  <c r="C2518" i="1"/>
  <c r="B2518" i="1"/>
  <c r="C2517" i="1"/>
  <c r="B2517" i="1"/>
  <c r="C2516" i="1"/>
  <c r="B2516" i="1"/>
  <c r="C2515" i="1"/>
  <c r="B2515" i="1"/>
  <c r="C2499" i="1"/>
  <c r="B2499" i="1"/>
  <c r="C2498" i="1"/>
  <c r="B2498" i="1"/>
  <c r="C2497" i="1"/>
  <c r="B2497" i="1"/>
  <c r="C2501" i="1"/>
  <c r="B2501" i="1"/>
  <c r="C2496" i="1"/>
  <c r="B2496" i="1"/>
  <c r="C2500" i="1"/>
  <c r="B2500" i="1"/>
  <c r="C2495" i="1"/>
  <c r="B2495" i="1"/>
  <c r="C2463" i="1"/>
  <c r="B2463" i="1"/>
  <c r="C2462" i="1"/>
  <c r="B2462" i="1"/>
  <c r="C2465" i="1"/>
  <c r="B2465" i="1"/>
  <c r="C2464" i="1"/>
  <c r="B2464" i="1"/>
  <c r="C2460" i="1"/>
  <c r="B2460" i="1"/>
  <c r="C2457" i="1"/>
  <c r="B2457" i="1"/>
  <c r="C2456" i="1"/>
  <c r="B2456" i="1"/>
  <c r="C2455" i="1"/>
  <c r="B2455" i="1"/>
  <c r="C2458" i="1"/>
  <c r="B2458" i="1"/>
  <c r="C2421" i="1"/>
  <c r="B2421" i="1"/>
  <c r="C2419" i="1"/>
  <c r="B2419" i="1"/>
  <c r="C2422" i="1"/>
  <c r="B2422" i="1"/>
  <c r="C2420" i="1"/>
  <c r="B2420" i="1"/>
  <c r="C2414" i="1"/>
  <c r="B2414" i="1"/>
  <c r="C2416" i="1"/>
  <c r="B2416" i="1"/>
  <c r="C2417" i="1"/>
  <c r="B2417" i="1"/>
  <c r="C2415" i="1"/>
  <c r="B2415" i="1"/>
  <c r="C2412" i="1"/>
  <c r="B2412" i="1"/>
  <c r="C2409" i="1"/>
  <c r="B2409" i="1"/>
  <c r="C2407" i="1"/>
  <c r="B2407" i="1"/>
  <c r="C2410" i="1"/>
  <c r="B2410" i="1"/>
  <c r="C2408" i="1"/>
  <c r="B2408" i="1"/>
  <c r="C2405" i="1"/>
  <c r="B2405" i="1"/>
  <c r="C2296" i="1"/>
  <c r="B2296" i="1"/>
  <c r="C2295" i="1"/>
  <c r="B2295" i="1"/>
  <c r="C2294" i="1"/>
  <c r="B2294" i="1"/>
  <c r="C2292" i="1"/>
  <c r="B2292" i="1"/>
  <c r="C2291" i="1"/>
  <c r="B2291" i="1"/>
  <c r="C2289" i="1"/>
  <c r="B2289" i="1"/>
  <c r="C2287" i="1"/>
  <c r="B2287" i="1"/>
  <c r="C2286" i="1"/>
  <c r="B2286" i="1"/>
  <c r="C2285" i="1"/>
  <c r="B2285" i="1"/>
  <c r="C2273" i="1"/>
  <c r="B2273" i="1"/>
  <c r="C2272" i="1"/>
  <c r="B2272" i="1"/>
  <c r="C2271" i="1"/>
  <c r="B2271" i="1"/>
  <c r="C2269" i="1"/>
  <c r="B2269" i="1"/>
  <c r="C2268" i="1"/>
  <c r="B2268" i="1"/>
  <c r="C2267" i="1"/>
  <c r="B2267" i="1"/>
  <c r="C2264" i="1"/>
  <c r="B2264" i="1"/>
  <c r="C2263" i="1"/>
  <c r="B2263" i="1"/>
  <c r="C2261" i="1"/>
  <c r="B2261" i="1"/>
  <c r="C2260" i="1"/>
  <c r="B2260" i="1"/>
  <c r="C2208" i="1"/>
  <c r="B2208" i="1"/>
  <c r="C2209" i="1"/>
  <c r="B2209" i="1"/>
  <c r="C2207" i="1"/>
  <c r="B2207" i="1"/>
  <c r="C2205" i="1"/>
  <c r="B2205" i="1"/>
  <c r="C2204" i="1"/>
  <c r="B2204" i="1"/>
  <c r="C2203" i="1"/>
  <c r="B2203" i="1"/>
  <c r="C2200" i="1"/>
  <c r="B2200" i="1"/>
  <c r="C2199" i="1"/>
  <c r="B2199" i="1"/>
  <c r="C2198" i="1"/>
  <c r="B2198" i="1"/>
  <c r="C2196" i="1"/>
  <c r="B2196" i="1"/>
  <c r="C2195" i="1"/>
  <c r="B2195" i="1"/>
  <c r="C2194" i="1"/>
  <c r="B2194" i="1"/>
  <c r="C2192" i="1"/>
  <c r="B2192" i="1"/>
  <c r="C2189" i="1"/>
  <c r="B2189" i="1"/>
  <c r="C2188" i="1"/>
  <c r="B2188" i="1"/>
  <c r="C2187" i="1"/>
  <c r="B2187" i="1"/>
  <c r="C2186" i="1"/>
  <c r="B2186" i="1"/>
  <c r="C2184" i="1"/>
  <c r="B2184" i="1"/>
  <c r="C2183" i="1"/>
  <c r="B2183" i="1"/>
  <c r="C2182" i="1"/>
  <c r="B2182" i="1"/>
  <c r="C2180" i="1"/>
  <c r="B2180" i="1"/>
  <c r="C2179" i="1"/>
  <c r="B2179" i="1"/>
  <c r="C2178" i="1"/>
  <c r="B2178" i="1"/>
  <c r="C2177" i="1"/>
  <c r="B2177" i="1"/>
  <c r="C2175" i="1"/>
  <c r="B2175" i="1"/>
  <c r="C2173" i="1"/>
  <c r="B2173" i="1"/>
  <c r="C2174" i="1"/>
  <c r="B2174" i="1"/>
  <c r="C2171" i="1"/>
  <c r="B2171" i="1"/>
  <c r="C2170" i="1"/>
  <c r="B2170" i="1"/>
  <c r="C2168" i="1"/>
  <c r="B2168" i="1"/>
  <c r="C2167" i="1"/>
  <c r="B2167" i="1"/>
  <c r="C2166" i="1"/>
  <c r="B2166" i="1"/>
  <c r="C2165" i="1"/>
  <c r="B2165" i="1"/>
  <c r="C2164" i="1"/>
  <c r="B2164" i="1"/>
  <c r="C2161" i="1"/>
  <c r="B2161" i="1"/>
  <c r="C2160" i="1"/>
  <c r="B2160" i="1"/>
  <c r="C2159" i="1"/>
  <c r="B2159" i="1"/>
  <c r="C2157" i="1"/>
  <c r="B2157" i="1"/>
  <c r="C2156" i="1"/>
  <c r="B2156" i="1"/>
  <c r="C2155" i="1"/>
  <c r="B2155" i="1"/>
  <c r="C2153" i="1"/>
  <c r="B2153" i="1"/>
  <c r="C2152" i="1"/>
  <c r="B2152" i="1"/>
  <c r="C2151" i="1"/>
  <c r="B2151" i="1"/>
  <c r="C2149" i="1"/>
  <c r="B2149" i="1"/>
  <c r="C2148" i="1"/>
  <c r="B2148" i="1"/>
  <c r="C2147" i="1"/>
  <c r="B2147" i="1"/>
  <c r="C2145" i="1"/>
  <c r="B2145" i="1"/>
  <c r="C2144" i="1"/>
  <c r="B2144" i="1"/>
  <c r="C2141" i="1"/>
  <c r="B2141" i="1"/>
  <c r="C2140" i="1"/>
  <c r="B2140" i="1"/>
  <c r="C2139" i="1"/>
  <c r="B2139" i="1"/>
  <c r="C2135" i="1"/>
  <c r="B2135" i="1"/>
  <c r="C2137" i="1"/>
  <c r="B2137" i="1"/>
  <c r="C2136" i="1"/>
  <c r="B2136" i="1"/>
  <c r="C2134" i="1"/>
  <c r="B2134" i="1"/>
  <c r="C2133" i="1"/>
  <c r="B2133" i="1"/>
  <c r="C2132" i="1"/>
  <c r="B2132" i="1"/>
  <c r="C2130" i="1"/>
  <c r="B2130" i="1"/>
  <c r="C2129" i="1"/>
  <c r="B2129" i="1"/>
  <c r="C2127" i="1"/>
  <c r="B2127" i="1"/>
  <c r="C2118" i="1"/>
  <c r="B2118" i="1"/>
  <c r="C2115" i="1"/>
  <c r="B2115" i="1"/>
  <c r="C2114" i="1"/>
  <c r="B2114" i="1"/>
  <c r="C2116" i="1"/>
  <c r="B2116" i="1"/>
  <c r="C2111" i="1"/>
  <c r="B2111" i="1"/>
  <c r="C2112" i="1"/>
  <c r="B2112" i="1"/>
  <c r="C2049" i="1"/>
  <c r="B2049" i="1"/>
  <c r="C2047" i="1"/>
  <c r="B2047" i="1"/>
  <c r="C2046" i="1"/>
  <c r="B2046" i="1"/>
  <c r="C2045" i="1"/>
  <c r="B2045" i="1"/>
  <c r="C2044" i="1"/>
  <c r="B2044" i="1"/>
  <c r="C2041" i="1"/>
  <c r="B2041" i="1"/>
  <c r="C2040" i="1"/>
  <c r="B2040" i="1"/>
  <c r="C2034" i="1"/>
  <c r="B2034" i="1"/>
  <c r="C2035" i="1"/>
  <c r="B2035" i="1"/>
  <c r="C2037" i="1"/>
  <c r="B2037" i="1"/>
  <c r="C2036" i="1"/>
  <c r="B2036" i="1"/>
  <c r="C2123" i="1"/>
  <c r="B2123" i="1"/>
  <c r="C2124" i="1"/>
  <c r="B2124" i="1"/>
  <c r="C2121" i="1"/>
  <c r="B2121" i="1"/>
  <c r="C1981" i="1"/>
  <c r="B1981" i="1"/>
  <c r="C1980" i="1"/>
  <c r="B1980" i="1"/>
  <c r="C1979" i="1"/>
  <c r="B1979" i="1"/>
  <c r="C1977" i="1"/>
  <c r="B1977" i="1"/>
  <c r="C1976" i="1"/>
  <c r="B1976" i="1"/>
  <c r="C1975" i="1"/>
  <c r="B1975" i="1"/>
  <c r="C1971" i="1"/>
  <c r="B1971" i="1"/>
  <c r="C1970" i="1"/>
  <c r="B1970" i="1"/>
  <c r="C1969" i="1"/>
  <c r="B1969" i="1"/>
  <c r="C1972" i="1"/>
  <c r="B1972" i="1"/>
  <c r="C1968" i="1"/>
  <c r="B1968" i="1"/>
  <c r="C1966" i="1"/>
  <c r="B1966" i="1"/>
  <c r="C1965" i="1"/>
  <c r="B1965" i="1"/>
  <c r="C1964" i="1"/>
  <c r="B1964" i="1"/>
  <c r="C1960" i="1"/>
  <c r="B1960" i="1"/>
  <c r="C1962" i="1"/>
  <c r="B1962" i="1"/>
  <c r="C1959" i="1"/>
  <c r="B1959" i="1"/>
  <c r="C1958" i="1"/>
  <c r="B1958" i="1"/>
  <c r="C1961" i="1"/>
  <c r="B1961" i="1"/>
  <c r="C1936" i="1"/>
  <c r="B1936" i="1"/>
  <c r="C1934" i="1"/>
  <c r="B1934" i="1"/>
  <c r="C1933" i="1"/>
  <c r="B1933" i="1"/>
  <c r="C1932" i="1"/>
  <c r="B1932" i="1"/>
  <c r="C1929" i="1"/>
  <c r="B1929" i="1"/>
  <c r="C1930" i="1"/>
  <c r="B1930" i="1"/>
  <c r="C1928" i="1"/>
  <c r="B1928" i="1"/>
  <c r="C1926" i="1"/>
  <c r="B1926" i="1"/>
  <c r="C1925" i="1"/>
  <c r="B1925" i="1"/>
  <c r="C1923" i="1"/>
  <c r="B1923" i="1"/>
  <c r="C1921" i="1"/>
  <c r="B1921" i="1"/>
  <c r="C1920" i="1"/>
  <c r="B1920" i="1"/>
  <c r="C1919" i="1"/>
  <c r="B1919" i="1"/>
  <c r="C1916" i="1"/>
  <c r="B1916" i="1"/>
  <c r="C1917" i="1"/>
  <c r="B1917" i="1"/>
  <c r="C1915" i="1"/>
  <c r="B1915" i="1"/>
  <c r="C1882" i="1"/>
  <c r="B1882" i="1"/>
  <c r="C1881" i="1"/>
  <c r="B1881" i="1"/>
  <c r="C1879" i="1"/>
  <c r="B1879" i="1"/>
  <c r="C1876" i="1"/>
  <c r="B1876" i="1"/>
  <c r="C1877" i="1"/>
  <c r="B1877" i="1"/>
  <c r="C1878" i="1"/>
  <c r="B1878" i="1"/>
  <c r="C1874" i="1"/>
  <c r="B1874" i="1"/>
  <c r="C1872" i="1"/>
  <c r="B1872" i="1"/>
  <c r="C1873" i="1"/>
  <c r="B1873" i="1"/>
  <c r="C1870" i="1"/>
  <c r="B1870" i="1"/>
  <c r="C1868" i="1"/>
  <c r="B1868" i="1"/>
  <c r="C1869" i="1"/>
  <c r="B1869" i="1"/>
  <c r="C1866" i="1"/>
  <c r="B1866" i="1"/>
  <c r="C1865" i="1"/>
  <c r="B1865" i="1"/>
  <c r="C1856" i="1"/>
  <c r="B1856" i="1"/>
  <c r="C1854" i="1"/>
  <c r="B1854" i="1"/>
  <c r="C1855" i="1"/>
  <c r="B1855" i="1"/>
  <c r="C1853" i="1"/>
  <c r="B1853" i="1"/>
  <c r="C1852" i="1"/>
  <c r="B1852" i="1"/>
  <c r="C1850" i="1"/>
  <c r="B1850" i="1"/>
  <c r="C1848" i="1"/>
  <c r="B1848" i="1"/>
  <c r="C1847" i="1"/>
  <c r="B1847" i="1"/>
  <c r="C1845" i="1"/>
  <c r="B1845" i="1"/>
  <c r="C1806" i="1"/>
  <c r="B1806" i="1"/>
  <c r="C1805" i="1"/>
  <c r="B1805" i="1"/>
  <c r="C1803" i="1"/>
  <c r="B1803" i="1"/>
  <c r="C1802" i="1"/>
  <c r="B1802" i="1"/>
  <c r="C1800" i="1"/>
  <c r="B1800" i="1"/>
  <c r="C1799" i="1"/>
  <c r="B1799" i="1"/>
  <c r="C407" i="1"/>
  <c r="B407" i="1"/>
  <c r="C406" i="1"/>
  <c r="B406" i="1"/>
  <c r="C408" i="1"/>
  <c r="B408" i="1"/>
  <c r="C405" i="1"/>
  <c r="B405" i="1"/>
  <c r="C404" i="1"/>
  <c r="B404" i="1"/>
  <c r="C400" i="1"/>
  <c r="B400" i="1"/>
  <c r="C401" i="1"/>
  <c r="B401" i="1"/>
  <c r="C399" i="1"/>
  <c r="B399" i="1"/>
  <c r="C402" i="1"/>
  <c r="B402" i="1"/>
  <c r="C398" i="1"/>
  <c r="B398" i="1"/>
  <c r="C1797" i="1"/>
  <c r="B1797" i="1"/>
  <c r="C1796" i="1"/>
  <c r="B1796" i="1"/>
  <c r="C1793" i="1"/>
  <c r="B1793" i="1"/>
  <c r="C1792" i="1"/>
  <c r="B1792" i="1"/>
  <c r="C1790" i="1"/>
  <c r="B1790" i="1"/>
  <c r="C1789" i="1"/>
  <c r="B1789" i="1"/>
  <c r="C1787" i="1"/>
  <c r="B1787" i="1"/>
  <c r="C1786" i="1"/>
  <c r="B1786" i="1"/>
  <c r="C1784" i="1"/>
  <c r="B1784" i="1"/>
  <c r="C1781" i="1"/>
  <c r="B1781" i="1"/>
  <c r="C1779" i="1"/>
  <c r="B1779" i="1"/>
  <c r="C1777" i="1"/>
  <c r="B1777" i="1"/>
  <c r="C1776" i="1"/>
  <c r="B1776" i="1"/>
  <c r="C1774" i="1"/>
  <c r="B1774" i="1"/>
  <c r="C1772" i="1"/>
  <c r="B1772" i="1"/>
  <c r="C1771" i="1"/>
  <c r="B1771" i="1"/>
  <c r="C1769" i="1"/>
  <c r="B1769" i="1"/>
  <c r="C1768" i="1"/>
  <c r="B1768" i="1"/>
  <c r="C1765" i="1"/>
  <c r="B1765" i="1"/>
  <c r="C1764" i="1"/>
  <c r="B1764" i="1"/>
  <c r="C1762" i="1"/>
  <c r="B1762" i="1"/>
  <c r="C1761" i="1"/>
  <c r="B1761" i="1"/>
  <c r="C1759" i="1"/>
  <c r="B1759" i="1"/>
  <c r="C1757" i="1"/>
  <c r="B1757" i="1"/>
  <c r="C1756" i="1"/>
  <c r="B1756" i="1"/>
  <c r="C1754" i="1"/>
  <c r="B1754" i="1"/>
  <c r="C1755" i="1"/>
  <c r="B1755" i="1"/>
  <c r="C1751" i="1"/>
  <c r="B1751" i="1"/>
  <c r="C1752" i="1"/>
  <c r="B1752" i="1"/>
  <c r="C1748" i="1"/>
  <c r="B1748" i="1"/>
  <c r="C1747" i="1"/>
  <c r="B1747" i="1"/>
  <c r="C1746" i="1"/>
  <c r="B1746" i="1"/>
  <c r="C1745" i="1"/>
  <c r="B1745" i="1"/>
  <c r="C1742" i="1"/>
  <c r="B1742" i="1"/>
  <c r="C1743" i="1"/>
  <c r="B1743" i="1"/>
  <c r="C1740" i="1"/>
  <c r="B1740" i="1"/>
  <c r="C1739" i="1"/>
  <c r="B1739" i="1"/>
  <c r="C1738" i="1"/>
  <c r="B1738" i="1"/>
  <c r="C1737" i="1"/>
  <c r="B1737" i="1"/>
  <c r="C1736" i="1"/>
  <c r="B1736" i="1"/>
  <c r="C1734" i="1"/>
  <c r="B1734" i="1"/>
  <c r="C1733" i="1"/>
  <c r="B1733" i="1"/>
  <c r="C1732" i="1"/>
  <c r="B1732" i="1"/>
  <c r="C1730" i="1"/>
  <c r="B1730" i="1"/>
  <c r="C1729" i="1"/>
  <c r="B1729" i="1"/>
  <c r="C1728" i="1"/>
  <c r="B1728" i="1"/>
  <c r="C1726" i="1"/>
  <c r="B1726" i="1"/>
  <c r="C1725" i="1"/>
  <c r="B1725" i="1"/>
  <c r="C1722" i="1"/>
  <c r="B1722" i="1"/>
  <c r="C1721" i="1"/>
  <c r="B1721" i="1"/>
  <c r="C1719" i="1"/>
  <c r="B1719" i="1"/>
  <c r="C1718" i="1"/>
  <c r="B1718" i="1"/>
  <c r="C1716" i="1"/>
  <c r="B1716" i="1"/>
  <c r="C1715" i="1"/>
  <c r="B1715" i="1"/>
  <c r="C1713" i="1"/>
  <c r="B1713" i="1"/>
  <c r="C1712" i="1"/>
  <c r="B1712" i="1"/>
  <c r="C1690" i="1"/>
  <c r="B1690" i="1"/>
  <c r="C1689" i="1"/>
  <c r="B1689" i="1"/>
  <c r="C1691" i="1"/>
  <c r="B1691" i="1"/>
  <c r="C1688" i="1"/>
  <c r="B1688" i="1"/>
  <c r="C1685" i="1"/>
  <c r="B1685" i="1"/>
  <c r="C1684" i="1"/>
  <c r="B1684" i="1"/>
  <c r="C1686" i="1"/>
  <c r="B1686" i="1"/>
  <c r="C1683" i="1"/>
  <c r="B1683" i="1"/>
  <c r="C1681" i="1"/>
  <c r="B1681" i="1"/>
  <c r="C1680" i="1"/>
  <c r="B1680" i="1"/>
  <c r="C1679" i="1"/>
  <c r="B1679" i="1"/>
  <c r="C1677" i="1"/>
  <c r="B1677" i="1"/>
  <c r="C1676" i="1"/>
  <c r="B1676" i="1"/>
  <c r="C1675" i="1"/>
  <c r="B1675" i="1"/>
  <c r="C1672" i="1"/>
  <c r="B1672" i="1"/>
  <c r="C1673" i="1"/>
  <c r="B1673" i="1"/>
  <c r="C1671" i="1"/>
  <c r="B1671" i="1"/>
  <c r="C1670" i="1"/>
  <c r="B1670" i="1"/>
  <c r="C1669" i="1"/>
  <c r="B1669" i="1"/>
  <c r="C1667" i="1"/>
  <c r="B1667" i="1"/>
  <c r="C1664" i="1"/>
  <c r="B1664" i="1"/>
  <c r="C1665" i="1"/>
  <c r="B1665" i="1"/>
  <c r="C1662" i="1"/>
  <c r="B1662" i="1"/>
  <c r="C1661" i="1"/>
  <c r="B1661" i="1"/>
  <c r="C1659" i="1"/>
  <c r="B1659" i="1"/>
  <c r="C1657" i="1"/>
  <c r="B1657" i="1"/>
  <c r="C1656" i="1"/>
  <c r="B1656" i="1"/>
  <c r="C1654" i="1"/>
  <c r="B1654" i="1"/>
  <c r="C1650" i="1"/>
  <c r="B1650" i="1"/>
  <c r="C1651" i="1"/>
  <c r="B1651" i="1"/>
  <c r="C1648" i="1"/>
  <c r="B1648" i="1"/>
  <c r="C1645" i="1"/>
  <c r="B1645" i="1"/>
  <c r="C1646" i="1"/>
  <c r="B1646" i="1"/>
  <c r="C1638" i="1"/>
  <c r="B1638" i="1"/>
  <c r="C1635" i="1"/>
  <c r="B1635" i="1"/>
  <c r="C1634" i="1"/>
  <c r="B1634" i="1"/>
  <c r="C1636" i="1"/>
  <c r="B1636" i="1"/>
  <c r="C1631" i="1"/>
  <c r="B1631" i="1"/>
  <c r="C1630" i="1"/>
  <c r="B1630" i="1"/>
  <c r="C1632" i="1"/>
  <c r="B1632" i="1"/>
  <c r="C1627" i="1"/>
  <c r="B1627" i="1"/>
  <c r="C1628" i="1"/>
  <c r="B1628" i="1"/>
  <c r="C1625" i="1"/>
  <c r="B1625" i="1"/>
  <c r="C1623" i="1"/>
  <c r="B1623" i="1"/>
  <c r="C1624" i="1"/>
  <c r="B1624" i="1"/>
  <c r="C1621" i="1"/>
  <c r="B1621" i="1"/>
  <c r="C1581" i="1"/>
  <c r="B1581" i="1"/>
  <c r="C1580" i="1"/>
  <c r="B1580" i="1"/>
  <c r="C1578" i="1"/>
  <c r="B1578" i="1"/>
  <c r="C1577" i="1"/>
  <c r="B1577" i="1"/>
  <c r="C1575" i="1"/>
  <c r="B1575" i="1"/>
  <c r="C1573" i="1"/>
  <c r="B1573" i="1"/>
  <c r="C1570" i="1"/>
  <c r="B1570" i="1"/>
  <c r="C1558" i="1"/>
  <c r="B1558" i="1"/>
  <c r="C1555" i="1"/>
  <c r="B1555" i="1"/>
  <c r="C1557" i="1"/>
  <c r="B1557" i="1"/>
  <c r="C1556" i="1"/>
  <c r="B1556" i="1"/>
  <c r="C1553" i="1"/>
  <c r="B1553" i="1"/>
  <c r="C1552" i="1"/>
  <c r="B1552" i="1"/>
  <c r="C1551" i="1"/>
  <c r="B1551" i="1"/>
  <c r="C1550" i="1"/>
  <c r="B1550" i="1"/>
  <c r="C1471" i="1"/>
  <c r="B1471" i="1"/>
  <c r="C1470" i="1"/>
  <c r="B1470" i="1"/>
  <c r="C1472" i="1"/>
  <c r="B1472" i="1"/>
  <c r="C1467" i="1"/>
  <c r="B1467" i="1"/>
  <c r="C1468" i="1"/>
  <c r="B1468" i="1"/>
  <c r="C1229" i="1"/>
  <c r="B1229" i="1"/>
  <c r="C1226" i="1"/>
  <c r="B1226" i="1"/>
  <c r="C1225" i="1"/>
  <c r="B1225" i="1"/>
  <c r="C1224" i="1"/>
  <c r="B1224" i="1"/>
  <c r="C1223" i="1"/>
  <c r="B1223" i="1"/>
  <c r="C1221" i="1"/>
  <c r="B1221" i="1"/>
  <c r="C1218" i="1"/>
  <c r="B1218" i="1"/>
  <c r="C1217" i="1"/>
  <c r="B1217" i="1"/>
  <c r="C1219" i="1"/>
  <c r="B1219" i="1"/>
  <c r="C1216" i="1"/>
  <c r="B1216" i="1"/>
  <c r="C1214" i="1"/>
  <c r="B1214" i="1"/>
  <c r="C1211" i="1"/>
  <c r="B1211" i="1"/>
  <c r="C1210" i="1"/>
  <c r="B1210" i="1"/>
  <c r="C1208" i="1"/>
  <c r="B1208" i="1"/>
  <c r="C1207" i="1"/>
  <c r="B1207" i="1"/>
  <c r="C1205" i="1"/>
  <c r="B1205" i="1"/>
  <c r="C1191" i="1"/>
  <c r="B1191" i="1"/>
  <c r="C1196" i="1"/>
  <c r="B1196" i="1"/>
  <c r="C1195" i="1"/>
  <c r="B1195" i="1"/>
  <c r="C1197" i="1"/>
  <c r="B1197" i="1"/>
  <c r="C1194" i="1"/>
  <c r="B1194" i="1"/>
  <c r="C1193" i="1"/>
  <c r="B1193" i="1"/>
  <c r="C1192" i="1"/>
  <c r="B1192" i="1"/>
  <c r="C1189" i="1"/>
  <c r="B1189" i="1"/>
  <c r="C1186" i="1"/>
  <c r="B1186" i="1"/>
  <c r="C1188" i="1"/>
  <c r="B1188" i="1"/>
  <c r="C1187" i="1"/>
  <c r="B1187" i="1"/>
  <c r="C1184" i="1"/>
  <c r="B1184" i="1"/>
  <c r="C1178" i="1"/>
  <c r="B1178" i="1"/>
  <c r="C1183" i="1"/>
  <c r="B1183" i="1"/>
  <c r="C1182" i="1"/>
  <c r="B1182" i="1"/>
  <c r="C1181" i="1"/>
  <c r="B1181" i="1"/>
  <c r="C1180" i="1"/>
  <c r="B1180" i="1"/>
  <c r="C1179" i="1"/>
  <c r="B1179" i="1"/>
  <c r="C1177" i="1"/>
  <c r="B1177" i="1"/>
  <c r="C1173" i="1"/>
  <c r="B1173" i="1"/>
  <c r="C1176" i="1"/>
  <c r="B1176" i="1"/>
  <c r="C1175" i="1"/>
  <c r="B1175" i="1"/>
  <c r="C1174" i="1"/>
  <c r="B1174" i="1"/>
  <c r="C1171" i="1"/>
  <c r="B1171" i="1"/>
  <c r="C1166" i="1"/>
  <c r="B1166" i="1"/>
  <c r="C1170" i="1"/>
  <c r="B1170" i="1"/>
  <c r="C1165" i="1"/>
  <c r="B1165" i="1"/>
  <c r="C1169" i="1"/>
  <c r="B1169" i="1"/>
  <c r="C1168" i="1"/>
  <c r="B1168" i="1"/>
  <c r="C1167" i="1"/>
  <c r="B1167" i="1"/>
  <c r="C1163" i="1"/>
  <c r="B1163" i="1"/>
  <c r="C1159" i="1"/>
  <c r="B1159" i="1"/>
  <c r="C1162" i="1"/>
  <c r="B1162" i="1"/>
  <c r="C1161" i="1"/>
  <c r="B1161" i="1"/>
  <c r="C1160" i="1"/>
  <c r="B1160" i="1"/>
  <c r="C815" i="1"/>
  <c r="B815" i="1"/>
  <c r="C811" i="1"/>
  <c r="B811" i="1"/>
  <c r="C812" i="1"/>
  <c r="B812" i="1"/>
  <c r="C810" i="1"/>
  <c r="B810" i="1"/>
  <c r="C809" i="1"/>
  <c r="B809" i="1"/>
  <c r="C806" i="1"/>
  <c r="B806" i="1"/>
  <c r="C807" i="1"/>
  <c r="B807" i="1"/>
  <c r="C805" i="1"/>
  <c r="B805" i="1"/>
  <c r="C804" i="1"/>
  <c r="B804" i="1"/>
  <c r="C801" i="1"/>
  <c r="B801" i="1"/>
  <c r="C799" i="1"/>
  <c r="B799" i="1"/>
  <c r="C798" i="1"/>
  <c r="B798" i="1"/>
  <c r="C797" i="1"/>
  <c r="B797" i="1"/>
  <c r="C796" i="1"/>
  <c r="B796" i="1"/>
  <c r="C795" i="1"/>
  <c r="B795" i="1"/>
  <c r="C793" i="1"/>
  <c r="B793" i="1"/>
  <c r="C792" i="1"/>
  <c r="B792" i="1"/>
  <c r="C791" i="1"/>
  <c r="B791" i="1"/>
  <c r="C790" i="1"/>
  <c r="B790" i="1"/>
  <c r="C788" i="1"/>
  <c r="B788" i="1"/>
  <c r="C786" i="1"/>
  <c r="B786" i="1"/>
  <c r="C787" i="1"/>
  <c r="B787" i="1"/>
  <c r="C785" i="1"/>
  <c r="B785" i="1"/>
  <c r="C784" i="1"/>
  <c r="B784" i="1"/>
  <c r="C783" i="1"/>
  <c r="B783" i="1"/>
  <c r="C781" i="1"/>
  <c r="B781" i="1"/>
  <c r="C780" i="1"/>
  <c r="B780" i="1"/>
  <c r="C779" i="1"/>
  <c r="B779" i="1"/>
  <c r="C776" i="1"/>
  <c r="B776" i="1"/>
  <c r="C775" i="1"/>
  <c r="B775" i="1"/>
  <c r="C774" i="1"/>
  <c r="B774" i="1"/>
  <c r="C773" i="1"/>
  <c r="B773" i="1"/>
  <c r="C777" i="1"/>
  <c r="B777" i="1"/>
  <c r="C771" i="1"/>
  <c r="B771" i="1"/>
  <c r="C772" i="1"/>
  <c r="B772" i="1"/>
  <c r="C770" i="1"/>
  <c r="B770" i="1"/>
  <c r="C768" i="1"/>
  <c r="B768" i="1"/>
  <c r="C756" i="1"/>
  <c r="B756" i="1"/>
  <c r="C755" i="1"/>
  <c r="B755" i="1"/>
  <c r="C754" i="1"/>
  <c r="B754" i="1"/>
  <c r="C753" i="1"/>
  <c r="B753" i="1"/>
  <c r="C751" i="1"/>
  <c r="B751" i="1"/>
  <c r="C750" i="1"/>
  <c r="B750" i="1"/>
  <c r="C749" i="1"/>
  <c r="B749" i="1"/>
  <c r="C745" i="1"/>
  <c r="B745" i="1"/>
  <c r="C746" i="1"/>
  <c r="B746" i="1"/>
  <c r="C742" i="1"/>
  <c r="B742" i="1"/>
  <c r="C743" i="1"/>
  <c r="B743" i="1"/>
  <c r="C741" i="1"/>
  <c r="B741" i="1"/>
  <c r="C738" i="1"/>
  <c r="B738" i="1"/>
  <c r="C739" i="1"/>
  <c r="B739" i="1"/>
  <c r="C737" i="1"/>
  <c r="B737" i="1"/>
  <c r="C733" i="1"/>
  <c r="B733" i="1"/>
  <c r="C732" i="1"/>
  <c r="B732" i="1"/>
  <c r="C728" i="1"/>
  <c r="B728" i="1"/>
  <c r="C734" i="1"/>
  <c r="B734" i="1"/>
  <c r="C731" i="1"/>
  <c r="B731" i="1"/>
  <c r="C730" i="1"/>
  <c r="B730" i="1"/>
  <c r="C729" i="1"/>
  <c r="B729" i="1"/>
  <c r="C725" i="1"/>
  <c r="B725" i="1"/>
  <c r="C724" i="1"/>
  <c r="B724" i="1"/>
  <c r="C723" i="1"/>
  <c r="B723" i="1"/>
  <c r="C726" i="1"/>
  <c r="B726" i="1"/>
  <c r="C722" i="1"/>
  <c r="B722" i="1"/>
  <c r="C719" i="1"/>
  <c r="B719" i="1"/>
  <c r="C717" i="1"/>
  <c r="B717" i="1"/>
  <c r="C713" i="1"/>
  <c r="B713" i="1"/>
  <c r="C720" i="1"/>
  <c r="B720" i="1"/>
  <c r="C716" i="1"/>
  <c r="B716" i="1"/>
  <c r="C715" i="1"/>
  <c r="B715" i="1"/>
  <c r="C718" i="1"/>
  <c r="B718" i="1"/>
  <c r="C714" i="1"/>
  <c r="B714" i="1"/>
  <c r="C711" i="1"/>
  <c r="B711" i="1"/>
  <c r="C710" i="1"/>
  <c r="B710" i="1"/>
  <c r="C709" i="1"/>
  <c r="B709" i="1"/>
  <c r="C708" i="1"/>
  <c r="B708" i="1"/>
  <c r="C707" i="1"/>
  <c r="B707" i="1"/>
  <c r="C704" i="1"/>
  <c r="B704" i="1"/>
  <c r="C698" i="1"/>
  <c r="B698" i="1"/>
  <c r="C703" i="1"/>
  <c r="B703" i="1"/>
  <c r="C705" i="1"/>
  <c r="B705" i="1"/>
  <c r="C702" i="1"/>
  <c r="B702" i="1"/>
  <c r="C701" i="1"/>
  <c r="B701" i="1"/>
  <c r="C700" i="1"/>
  <c r="B700" i="1"/>
  <c r="C699" i="1"/>
  <c r="B699" i="1"/>
  <c r="C697" i="1"/>
  <c r="B697" i="1"/>
  <c r="C696" i="1"/>
  <c r="B696" i="1"/>
  <c r="C695" i="1"/>
  <c r="B695" i="1"/>
  <c r="C694" i="1"/>
  <c r="B694" i="1"/>
  <c r="C693" i="1"/>
  <c r="B693" i="1"/>
  <c r="C602" i="1"/>
  <c r="B602" i="1"/>
  <c r="C601" i="1"/>
  <c r="B601" i="1"/>
  <c r="C600" i="1"/>
  <c r="B600" i="1"/>
  <c r="C598" i="1"/>
  <c r="B598" i="1"/>
  <c r="C597" i="1"/>
  <c r="B597" i="1"/>
  <c r="C596" i="1"/>
  <c r="B596" i="1"/>
  <c r="C595" i="1"/>
  <c r="B595" i="1"/>
  <c r="C594" i="1"/>
  <c r="B594" i="1"/>
  <c r="C590" i="1"/>
  <c r="B590" i="1"/>
  <c r="C589" i="1"/>
  <c r="B589" i="1"/>
  <c r="C591" i="1"/>
  <c r="B591" i="1"/>
  <c r="C587" i="1"/>
  <c r="B587" i="1"/>
  <c r="C584" i="1"/>
  <c r="B584" i="1"/>
  <c r="C583" i="1"/>
  <c r="B583" i="1"/>
  <c r="C581" i="1"/>
  <c r="B581" i="1"/>
  <c r="C582" i="1"/>
  <c r="B582" i="1"/>
  <c r="C585" i="1"/>
  <c r="B585" i="1"/>
  <c r="C578" i="1"/>
  <c r="B578" i="1"/>
  <c r="C576" i="1"/>
  <c r="B576" i="1"/>
  <c r="C577" i="1"/>
  <c r="B577" i="1"/>
  <c r="C579" i="1"/>
  <c r="B579" i="1"/>
  <c r="C575" i="1"/>
  <c r="B575" i="1"/>
  <c r="C572" i="1"/>
  <c r="B572" i="1"/>
  <c r="C571" i="1"/>
  <c r="B571" i="1"/>
  <c r="C569" i="1"/>
  <c r="B569" i="1"/>
  <c r="C570" i="1"/>
  <c r="B570" i="1"/>
  <c r="C573" i="1"/>
  <c r="B573" i="1"/>
  <c r="C567" i="1"/>
  <c r="B567" i="1"/>
  <c r="C555" i="1"/>
  <c r="B555" i="1"/>
  <c r="C556" i="1"/>
  <c r="B556" i="1"/>
  <c r="C552" i="1"/>
  <c r="B552" i="1"/>
  <c r="C550" i="1"/>
  <c r="B550" i="1"/>
  <c r="C544" i="1"/>
  <c r="B544" i="1"/>
  <c r="C549" i="1"/>
  <c r="B549" i="1"/>
  <c r="C548" i="1"/>
  <c r="B548" i="1"/>
  <c r="C547" i="1"/>
  <c r="B547" i="1"/>
  <c r="C543" i="1"/>
  <c r="B543" i="1"/>
  <c r="C546" i="1"/>
  <c r="B546" i="1"/>
  <c r="C545" i="1"/>
  <c r="B545" i="1"/>
  <c r="C542" i="1"/>
  <c r="B542" i="1"/>
  <c r="C538" i="1"/>
  <c r="B538" i="1"/>
  <c r="C537" i="1"/>
  <c r="B537" i="1"/>
  <c r="C540" i="1"/>
  <c r="B540" i="1"/>
  <c r="C536" i="1"/>
  <c r="B536" i="1"/>
  <c r="C535" i="1"/>
  <c r="B535" i="1"/>
  <c r="C539" i="1"/>
  <c r="B539" i="1"/>
  <c r="C534" i="1"/>
  <c r="B534" i="1"/>
  <c r="C533" i="1"/>
  <c r="B533" i="1"/>
  <c r="C532" i="1"/>
  <c r="B532" i="1"/>
  <c r="C530" i="1"/>
  <c r="B530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1" i="1"/>
  <c r="B521" i="1"/>
  <c r="C520" i="1"/>
  <c r="B520" i="1"/>
  <c r="C519" i="1"/>
  <c r="B519" i="1"/>
  <c r="C518" i="1"/>
  <c r="B518" i="1"/>
  <c r="C517" i="1"/>
  <c r="B517" i="1"/>
  <c r="C515" i="1"/>
  <c r="B515" i="1"/>
  <c r="C514" i="1"/>
  <c r="B514" i="1"/>
  <c r="C509" i="1"/>
  <c r="B509" i="1"/>
  <c r="C513" i="1"/>
  <c r="B513" i="1"/>
  <c r="C512" i="1"/>
  <c r="B512" i="1"/>
  <c r="C511" i="1"/>
  <c r="B511" i="1"/>
  <c r="C510" i="1"/>
  <c r="B510" i="1"/>
  <c r="C508" i="1"/>
  <c r="B508" i="1"/>
  <c r="C506" i="1"/>
  <c r="B506" i="1"/>
  <c r="C505" i="1"/>
  <c r="B505" i="1"/>
  <c r="C504" i="1"/>
  <c r="B504" i="1"/>
  <c r="C503" i="1"/>
  <c r="B503" i="1"/>
  <c r="C502" i="1"/>
  <c r="B502" i="1"/>
  <c r="C499" i="1"/>
  <c r="B499" i="1"/>
  <c r="C498" i="1"/>
  <c r="B498" i="1"/>
  <c r="C497" i="1"/>
  <c r="B497" i="1"/>
  <c r="C496" i="1"/>
  <c r="B496" i="1"/>
  <c r="C494" i="1"/>
  <c r="B494" i="1"/>
  <c r="C493" i="1"/>
  <c r="B493" i="1"/>
  <c r="C492" i="1"/>
  <c r="B492" i="1"/>
  <c r="C491" i="1"/>
  <c r="B491" i="1"/>
  <c r="C489" i="1"/>
  <c r="B489" i="1"/>
  <c r="C487" i="1"/>
  <c r="B487" i="1"/>
  <c r="C488" i="1"/>
  <c r="B488" i="1"/>
  <c r="C424" i="1"/>
  <c r="B424" i="1"/>
  <c r="C425" i="1"/>
  <c r="B425" i="1"/>
  <c r="C421" i="1"/>
  <c r="B421" i="1"/>
  <c r="C422" i="1"/>
  <c r="B422" i="1"/>
  <c r="C420" i="1"/>
  <c r="B420" i="1"/>
  <c r="C418" i="1"/>
  <c r="B418" i="1"/>
  <c r="C415" i="1"/>
  <c r="B415" i="1"/>
  <c r="C414" i="1"/>
  <c r="B414" i="1"/>
  <c r="C411" i="1"/>
  <c r="B411" i="1"/>
  <c r="C412" i="1"/>
  <c r="B412" i="1"/>
  <c r="C395" i="1"/>
  <c r="B395" i="1"/>
  <c r="C394" i="1"/>
  <c r="B394" i="1"/>
  <c r="C392" i="1"/>
  <c r="B392" i="1"/>
  <c r="C390" i="1"/>
  <c r="B390" i="1"/>
  <c r="C389" i="1"/>
  <c r="B389" i="1"/>
  <c r="C387" i="1"/>
  <c r="B387" i="1"/>
  <c r="C381" i="1"/>
  <c r="B381" i="1"/>
  <c r="C380" i="1"/>
  <c r="B380" i="1"/>
  <c r="C368" i="1"/>
  <c r="B368" i="1"/>
  <c r="C370" i="1"/>
  <c r="B370" i="1"/>
  <c r="C369" i="1"/>
  <c r="B369" i="1"/>
  <c r="C366" i="1"/>
  <c r="B366" i="1"/>
  <c r="C365" i="1"/>
  <c r="B365" i="1"/>
  <c r="C361" i="1"/>
  <c r="B361" i="1"/>
  <c r="C363" i="1"/>
  <c r="B363" i="1"/>
  <c r="C362" i="1"/>
  <c r="B362" i="1"/>
  <c r="C358" i="1"/>
  <c r="B358" i="1"/>
  <c r="C359" i="1"/>
  <c r="B359" i="1"/>
  <c r="C353" i="1"/>
  <c r="B353" i="1"/>
  <c r="C351" i="1"/>
  <c r="B351" i="1"/>
  <c r="C352" i="1"/>
  <c r="B352" i="1"/>
  <c r="C355" i="1"/>
  <c r="B355" i="1"/>
  <c r="C354" i="1"/>
  <c r="B354" i="1"/>
  <c r="C349" i="1"/>
  <c r="B349" i="1"/>
  <c r="C347" i="1"/>
  <c r="B347" i="1"/>
  <c r="C345" i="1"/>
  <c r="B345" i="1"/>
  <c r="C346" i="1"/>
  <c r="B346" i="1"/>
  <c r="C268" i="1"/>
  <c r="B268" i="1"/>
  <c r="C267" i="1"/>
  <c r="B267" i="1"/>
  <c r="C265" i="1"/>
  <c r="B265" i="1"/>
  <c r="C263" i="1"/>
  <c r="B263" i="1"/>
  <c r="C262" i="1"/>
  <c r="B262" i="1"/>
  <c r="C264" i="1"/>
  <c r="B264" i="1"/>
  <c r="C238" i="1"/>
  <c r="B238" i="1"/>
  <c r="C237" i="1"/>
  <c r="B237" i="1"/>
  <c r="C236" i="1"/>
  <c r="B236" i="1"/>
  <c r="C230" i="1"/>
  <c r="B230" i="1"/>
  <c r="C233" i="1"/>
  <c r="B233" i="1"/>
  <c r="C234" i="1"/>
  <c r="B234" i="1"/>
  <c r="C232" i="1"/>
  <c r="B232" i="1"/>
  <c r="C231" i="1"/>
  <c r="B231" i="1"/>
  <c r="C225" i="1"/>
  <c r="B225" i="1"/>
  <c r="C227" i="1"/>
  <c r="B227" i="1"/>
  <c r="C228" i="1"/>
  <c r="B228" i="1"/>
  <c r="C226" i="1"/>
  <c r="B226" i="1"/>
  <c r="C224" i="1"/>
  <c r="B224" i="1"/>
  <c r="C220" i="1"/>
  <c r="B220" i="1"/>
  <c r="C221" i="1"/>
  <c r="B221" i="1"/>
  <c r="C216" i="1"/>
  <c r="B216" i="1"/>
  <c r="C215" i="1"/>
  <c r="B215" i="1"/>
  <c r="C217" i="1"/>
  <c r="B217" i="1"/>
  <c r="C119" i="1"/>
  <c r="B119" i="1"/>
  <c r="C118" i="1"/>
  <c r="B118" i="1"/>
  <c r="C117" i="1"/>
  <c r="B117" i="1"/>
  <c r="C114" i="1"/>
  <c r="B114" i="1"/>
  <c r="C115" i="1"/>
  <c r="B115" i="1"/>
  <c r="C111" i="1"/>
  <c r="B111" i="1"/>
  <c r="C110" i="1"/>
  <c r="B110" i="1"/>
  <c r="C112" i="1"/>
  <c r="B112" i="1"/>
  <c r="C108" i="1"/>
  <c r="B108" i="1"/>
  <c r="C107" i="1"/>
  <c r="B107" i="1"/>
  <c r="C104" i="1"/>
  <c r="B104" i="1"/>
  <c r="C105" i="1"/>
  <c r="B105" i="1"/>
  <c r="C103" i="1"/>
  <c r="B103" i="1"/>
  <c r="C100" i="1"/>
  <c r="B100" i="1"/>
  <c r="C101" i="1"/>
  <c r="B101" i="1"/>
  <c r="C20" i="1"/>
  <c r="B20" i="1"/>
  <c r="C21" i="1"/>
  <c r="B21" i="1"/>
  <c r="C22" i="1"/>
  <c r="B22" i="1"/>
  <c r="C16" i="1"/>
  <c r="B16" i="1"/>
  <c r="C17" i="1"/>
  <c r="B17" i="1"/>
  <c r="C18" i="1"/>
  <c r="B18" i="1"/>
  <c r="C14" i="1"/>
  <c r="B14" i="1"/>
  <c r="C11" i="1"/>
  <c r="B11" i="1"/>
  <c r="C10" i="1"/>
  <c r="B10" i="1"/>
  <c r="C8" i="1"/>
  <c r="B8" i="1"/>
  <c r="C6" i="1"/>
  <c r="B6" i="1"/>
  <c r="C7" i="1"/>
  <c r="B7" i="1"/>
</calcChain>
</file>

<file path=xl/sharedStrings.xml><?xml version="1.0" encoding="utf-8"?>
<sst xmlns="http://schemas.openxmlformats.org/spreadsheetml/2006/main" count="15096" uniqueCount="1620">
  <si>
    <t>Vnr</t>
  </si>
  <si>
    <t>RANIXAL</t>
  </si>
  <si>
    <t>150 mg</t>
  </si>
  <si>
    <t>tabletti, kalvopäällysteinen</t>
  </si>
  <si>
    <t>Ranitidiini</t>
  </si>
  <si>
    <t>ratiopharm GmbH</t>
  </si>
  <si>
    <t>ratiopharm Oy</t>
  </si>
  <si>
    <t>ZANTAC</t>
  </si>
  <si>
    <t>Glaxo Operations UK Limited</t>
  </si>
  <si>
    <t>GlaxoSmithKline Oy</t>
  </si>
  <si>
    <t>RANITIDIN MYLAN</t>
  </si>
  <si>
    <t>Mylan AB</t>
  </si>
  <si>
    <t>300 mg</t>
  </si>
  <si>
    <t>OMEPRAZOL PENSA</t>
  </si>
  <si>
    <t>20 mg</t>
  </si>
  <si>
    <t>enterokapseli, kova</t>
  </si>
  <si>
    <t>Omepratsoli</t>
  </si>
  <si>
    <t>Pensa Pharma AB</t>
  </si>
  <si>
    <t>OMEPRAZOL BLUEFISH</t>
  </si>
  <si>
    <t>enterotabletti</t>
  </si>
  <si>
    <t>Bluefish Pharmaceuticals AB</t>
  </si>
  <si>
    <t>LOSEC MUPS</t>
  </si>
  <si>
    <t>AstraZeneca Oy</t>
  </si>
  <si>
    <t>100 (2 x 50)</t>
  </si>
  <si>
    <t>GASTERIX</t>
  </si>
  <si>
    <t>15 mg</t>
  </si>
  <si>
    <t>Lansopratsoli</t>
  </si>
  <si>
    <t>ZOLT</t>
  </si>
  <si>
    <t>Orion Corporation</t>
  </si>
  <si>
    <t>LANSOPRAZOL KRKA</t>
  </si>
  <si>
    <t>KRKA Sverige AB</t>
  </si>
  <si>
    <t>30 mg</t>
  </si>
  <si>
    <t>LACTULOS RATIOPHARM</t>
  </si>
  <si>
    <t>667 mg/ml</t>
  </si>
  <si>
    <t>oraaliliuos</t>
  </si>
  <si>
    <t>1000 ml</t>
  </si>
  <si>
    <t>Laktuloosi</t>
  </si>
  <si>
    <t>LEVOLAC</t>
  </si>
  <si>
    <t>670 mg/ml</t>
  </si>
  <si>
    <t>Takeda Oy</t>
  </si>
  <si>
    <t>DUPHALAC</t>
  </si>
  <si>
    <t>BGP Products B.V.</t>
  </si>
  <si>
    <t>BGP Products Oy</t>
  </si>
  <si>
    <t>PENTASA</t>
  </si>
  <si>
    <t>1 g / 100 ml</t>
  </si>
  <si>
    <t>peräruiskesuspensio</t>
  </si>
  <si>
    <t>7 x 100 ml</t>
  </si>
  <si>
    <t>Mesalatsiini</t>
  </si>
  <si>
    <t>Ferring Lääkkeet Oy</t>
  </si>
  <si>
    <t>ASACOL</t>
  </si>
  <si>
    <t>1 g</t>
  </si>
  <si>
    <t>peräruiske</t>
  </si>
  <si>
    <t>Tillotts Pharma AB</t>
  </si>
  <si>
    <t>GLUCOPHAGE</t>
  </si>
  <si>
    <t>1000 mg</t>
  </si>
  <si>
    <t>Metformiini</t>
  </si>
  <si>
    <t>Merck Santé s.a.s</t>
  </si>
  <si>
    <t>METFOREM</t>
  </si>
  <si>
    <t>Orion Oyj</t>
  </si>
  <si>
    <t>METFORMIN STADA</t>
  </si>
  <si>
    <t>Stada Arzneimittel AG</t>
  </si>
  <si>
    <t>ORAMET-HEXAL</t>
  </si>
  <si>
    <t>Hexal A/S</t>
  </si>
  <si>
    <t>METFORMIN VITABALANS</t>
  </si>
  <si>
    <t>Vitabalans Oy</t>
  </si>
  <si>
    <t>METFORMIN MYLAN</t>
  </si>
  <si>
    <t>500 mg</t>
  </si>
  <si>
    <t>METFORMIN ACTAVIS</t>
  </si>
  <si>
    <t>Actavis Group PTC ehf</t>
  </si>
  <si>
    <t>ORAMET</t>
  </si>
  <si>
    <t>Sandoz A/S</t>
  </si>
  <si>
    <t>850 mg</t>
  </si>
  <si>
    <t>ACTOS</t>
  </si>
  <si>
    <t>tabletti</t>
  </si>
  <si>
    <t>Pioglitatsoni</t>
  </si>
  <si>
    <t>Paranova Oy</t>
  </si>
  <si>
    <t>Orifarm Oy</t>
  </si>
  <si>
    <t>Takeda Pharma A/S</t>
  </si>
  <si>
    <t>PIOGLITAZONE ACCORD</t>
  </si>
  <si>
    <t>Accord Healthcare Limited</t>
  </si>
  <si>
    <t>PIOGLITAZONE ACTAVIS</t>
  </si>
  <si>
    <t>ISOSORBIDE MONONITRATE VITABALANS</t>
  </si>
  <si>
    <t>10 mg</t>
  </si>
  <si>
    <t>Isosorbidimononitraatti</t>
  </si>
  <si>
    <t>ORMOX</t>
  </si>
  <si>
    <t>ISMOX</t>
  </si>
  <si>
    <t>Riemser Pharma GmbH</t>
  </si>
  <si>
    <t>ISANGINA</t>
  </si>
  <si>
    <t>UCB Pharma GmbH</t>
  </si>
  <si>
    <t>UCB Pharma Oy Finland</t>
  </si>
  <si>
    <t>ISMEXIN</t>
  </si>
  <si>
    <t>MOXONIDIN STADA</t>
  </si>
  <si>
    <t>0.2 mg</t>
  </si>
  <si>
    <t>Moksonidiini</t>
  </si>
  <si>
    <t>MOXONIDIN ACTAVIS</t>
  </si>
  <si>
    <t>PHYSIOTENS</t>
  </si>
  <si>
    <t>0.4 mg</t>
  </si>
  <si>
    <t>VESIX</t>
  </si>
  <si>
    <t>40 mg</t>
  </si>
  <si>
    <t>Furosemidi</t>
  </si>
  <si>
    <t>FURESIS</t>
  </si>
  <si>
    <t>SPIRONOLACTONE ORION</t>
  </si>
  <si>
    <t>25 mg</t>
  </si>
  <si>
    <t>Spironolaktoni</t>
  </si>
  <si>
    <t>Orion Corporation Orion Pharma</t>
  </si>
  <si>
    <t>SPIRIX</t>
  </si>
  <si>
    <t>50 mg</t>
  </si>
  <si>
    <t>VISKEN</t>
  </si>
  <si>
    <t>Pindololi</t>
  </si>
  <si>
    <t>Novartis Finland Oy</t>
  </si>
  <si>
    <t>PINLOC</t>
  </si>
  <si>
    <t>5 mg</t>
  </si>
  <si>
    <t>RANOPRIN</t>
  </si>
  <si>
    <t>Propranololi</t>
  </si>
  <si>
    <t>PROPRANOLOL ACCORD</t>
  </si>
  <si>
    <t>PROPRAL</t>
  </si>
  <si>
    <t>80 mg</t>
  </si>
  <si>
    <t>ATENBLOCK</t>
  </si>
  <si>
    <t>100 mg</t>
  </si>
  <si>
    <t>Atenololi</t>
  </si>
  <si>
    <t>TENOBLOCK</t>
  </si>
  <si>
    <t>TENOPRIN</t>
  </si>
  <si>
    <t>ATENOLOL SANDOZ</t>
  </si>
  <si>
    <t>100 x 1</t>
  </si>
  <si>
    <t>Sandoz GmbH</t>
  </si>
  <si>
    <t>BISOPROLOL ACCORD</t>
  </si>
  <si>
    <t>Bisoprololi</t>
  </si>
  <si>
    <t>ORLOC</t>
  </si>
  <si>
    <t>BISOPROLOL KRKA</t>
  </si>
  <si>
    <t>BISOPROLOL VITABALANS</t>
  </si>
  <si>
    <t>EMCONCOR</t>
  </si>
  <si>
    <t>Merck KGaA</t>
  </si>
  <si>
    <t>BISOPROLOL ACTAVIS</t>
  </si>
  <si>
    <t>Actavis Nordic A/S Regulatory Affairs</t>
  </si>
  <si>
    <t>BISOPROLOL RATIOPHARM</t>
  </si>
  <si>
    <t>BISOPROLOL SANDOZ</t>
  </si>
  <si>
    <t>2.5 mg</t>
  </si>
  <si>
    <t>EMCONCOR CHF</t>
  </si>
  <si>
    <t>MERCK OY</t>
  </si>
  <si>
    <t>BISOPROLOL ORION</t>
  </si>
  <si>
    <t>BISOPROACT</t>
  </si>
  <si>
    <t>SELECTOL</t>
  </si>
  <si>
    <t>200 mg</t>
  </si>
  <si>
    <t>Seliprololi</t>
  </si>
  <si>
    <t>CELIPROLOL VITABALANS</t>
  </si>
  <si>
    <t>CARVEDILOL ORION</t>
  </si>
  <si>
    <t>12.5 mg</t>
  </si>
  <si>
    <t>Karvediloli</t>
  </si>
  <si>
    <t>Aurobindo Pharma (Malta) Ltd</t>
  </si>
  <si>
    <t>CARVEDILOL STADA</t>
  </si>
  <si>
    <t>CARVEDILOL HEXAL</t>
  </si>
  <si>
    <t>CARDIOL</t>
  </si>
  <si>
    <t>Roche Oy</t>
  </si>
  <si>
    <t>CARVERATIO</t>
  </si>
  <si>
    <t>6.25 mg</t>
  </si>
  <si>
    <t>ORLOC COMP</t>
  </si>
  <si>
    <t>10 mg / 25 mg</t>
  </si>
  <si>
    <t>Bisoprololi ja tiatsidit</t>
  </si>
  <si>
    <t>BISOPROLOL COMP RATIOPHARM</t>
  </si>
  <si>
    <t>EMCONCOR COMP</t>
  </si>
  <si>
    <t>5 mg / 12.5 mg</t>
  </si>
  <si>
    <t>LINATIL</t>
  </si>
  <si>
    <t>Enalapriili</t>
  </si>
  <si>
    <t>ENALAPRIL-RATIOPHARM</t>
  </si>
  <si>
    <t>ENALAPRIL KRKA</t>
  </si>
  <si>
    <t>ENALAPRIL ORION</t>
  </si>
  <si>
    <t>LINATILSAN</t>
  </si>
  <si>
    <t>ENALAPRIL MYLAN</t>
  </si>
  <si>
    <t>ENALAPRIL VITABALANS</t>
  </si>
  <si>
    <t>RENITEC</t>
  </si>
  <si>
    <t>Merck Sharp &amp; Dohme B.V.</t>
  </si>
  <si>
    <t>LISINOPRIL RATIOPHARM</t>
  </si>
  <si>
    <t>Lisinopriili</t>
  </si>
  <si>
    <t>CARDIOSTAD</t>
  </si>
  <si>
    <t>LISINOPRIL ORION</t>
  </si>
  <si>
    <t>COVERSYL NOVUM</t>
  </si>
  <si>
    <t>Perindopriili</t>
  </si>
  <si>
    <t>Les Laboratoires Servier</t>
  </si>
  <si>
    <t>PERINDOPRIL RATIOPHARM</t>
  </si>
  <si>
    <t>4 mg</t>
  </si>
  <si>
    <t>PERINDOPRIL KRKA</t>
  </si>
  <si>
    <t>PERINDOPRIL ACTAVIS</t>
  </si>
  <si>
    <t>RAMIPRIL HEXAL</t>
  </si>
  <si>
    <t>1.25 mg</t>
  </si>
  <si>
    <t>Ramipriili</t>
  </si>
  <si>
    <t>RAMIPRIL RATIOPHARM</t>
  </si>
  <si>
    <t>CARDACE</t>
  </si>
  <si>
    <t>Sanofi Oy</t>
  </si>
  <si>
    <t>RAMIPRIL ORION</t>
  </si>
  <si>
    <t>Aurobindo Pharma Ltd</t>
  </si>
  <si>
    <t>RAMIPRIL ACTAVIS</t>
  </si>
  <si>
    <t>ENALAPRIL COMP RATIOPHARM</t>
  </si>
  <si>
    <t>20 mg / 12.5 mg</t>
  </si>
  <si>
    <t>Enalapriili ja diureetit</t>
  </si>
  <si>
    <t>ENALAPRIL COMP ORION</t>
  </si>
  <si>
    <t>RENITEC COMP</t>
  </si>
  <si>
    <t>LINATIL COMP</t>
  </si>
  <si>
    <t>LISIPRIL COMP</t>
  </si>
  <si>
    <t>Lisinopriili ja diureetit</t>
  </si>
  <si>
    <t>ZOCOR</t>
  </si>
  <si>
    <t>Simvastatiini</t>
  </si>
  <si>
    <t>LIPCUT</t>
  </si>
  <si>
    <t>SIMVASTATIN RATIOPHARM</t>
  </si>
  <si>
    <t>SIMVASTATIN KRKA</t>
  </si>
  <si>
    <t>SIMVASTATIN ORION</t>
  </si>
  <si>
    <t>SIMVASTATIN ACTAVIS</t>
  </si>
  <si>
    <t>LOVASTATIN RATIOPHARM</t>
  </si>
  <si>
    <t>Lovastatiini</t>
  </si>
  <si>
    <t>LOVASTATIN STADA</t>
  </si>
  <si>
    <t>PRAVASTATIN RATIOPHARM</t>
  </si>
  <si>
    <t>Pravastatiini</t>
  </si>
  <si>
    <t>PRAVORION</t>
  </si>
  <si>
    <t>PRAVASTATIN SANDOZ</t>
  </si>
  <si>
    <t>PRAVASTATIN ORION</t>
  </si>
  <si>
    <t>Basics GmbH</t>
  </si>
  <si>
    <t>FLUVASTATIN MYLAN</t>
  </si>
  <si>
    <t>kapseli, kova</t>
  </si>
  <si>
    <t>Fluvastatiini</t>
  </si>
  <si>
    <t>VREYA</t>
  </si>
  <si>
    <t>0.035 mg / 2 mg</t>
  </si>
  <si>
    <t>tabletti, päällystetty</t>
  </si>
  <si>
    <t>Syproteroni ja estrogeeni</t>
  </si>
  <si>
    <t>Stragen Nordic A/S</t>
  </si>
  <si>
    <t>CYPRETYL</t>
  </si>
  <si>
    <t>2 mg / 35 mikrog</t>
  </si>
  <si>
    <t>3 x 21</t>
  </si>
  <si>
    <t>DIANE NOVA</t>
  </si>
  <si>
    <t>Bayer Oy</t>
  </si>
  <si>
    <t>GEFINA</t>
  </si>
  <si>
    <t>Finasteridi</t>
  </si>
  <si>
    <t>FINASTERID ORION</t>
  </si>
  <si>
    <t>FINASTERID RATIOPHARM</t>
  </si>
  <si>
    <t>PROSCAR</t>
  </si>
  <si>
    <t>DEXAMETASON</t>
  </si>
  <si>
    <t>1.5 mg</t>
  </si>
  <si>
    <t>Deksametasoni</t>
  </si>
  <si>
    <t>SOLOMET</t>
  </si>
  <si>
    <t>16 mg</t>
  </si>
  <si>
    <t>Metyyliprednisoloni</t>
  </si>
  <si>
    <t>MEDROL</t>
  </si>
  <si>
    <t>Pfizer Oy</t>
  </si>
  <si>
    <t>DOXITIN</t>
  </si>
  <si>
    <t>Doksisykliini</t>
  </si>
  <si>
    <t>DOXIMED</t>
  </si>
  <si>
    <t>DOXIMYCIN</t>
  </si>
  <si>
    <t>APOCYCLIN</t>
  </si>
  <si>
    <t>Tetrasykliini</t>
  </si>
  <si>
    <t>Actavis Group ehf.</t>
  </si>
  <si>
    <t>ORICYCLIN</t>
  </si>
  <si>
    <t>AMORION</t>
  </si>
  <si>
    <t>100 mg/ml</t>
  </si>
  <si>
    <t>jauhe oraalisuspensiota varten</t>
  </si>
  <si>
    <t>30 ml</t>
  </si>
  <si>
    <t>Amoksisilliini</t>
  </si>
  <si>
    <t>AMOXIN</t>
  </si>
  <si>
    <t>40 ml</t>
  </si>
  <si>
    <t>50 ml</t>
  </si>
  <si>
    <t>60 ml</t>
  </si>
  <si>
    <t>375 mg</t>
  </si>
  <si>
    <t>50 mg/ml</t>
  </si>
  <si>
    <t>100 ml</t>
  </si>
  <si>
    <t>AMOXICILLIN SANDOZ</t>
  </si>
  <si>
    <t>dispergoituva tabletti</t>
  </si>
  <si>
    <t>750 mg</t>
  </si>
  <si>
    <t>AMOXICILLIN MYLAN</t>
  </si>
  <si>
    <t>V-PEN MEGA</t>
  </si>
  <si>
    <t>1 milj.IU</t>
  </si>
  <si>
    <t>Fenoksimetyylipenisilliini</t>
  </si>
  <si>
    <t>V-PENISILLIINI RATIOPHARM 1000</t>
  </si>
  <si>
    <t>V-PEN 1500</t>
  </si>
  <si>
    <t>1.5 milj.IU</t>
  </si>
  <si>
    <t>V-PENISILLIINI RATIOPHARM 1500</t>
  </si>
  <si>
    <t>AMOXIN COMP</t>
  </si>
  <si>
    <t>500 mg / 125 mg</t>
  </si>
  <si>
    <t>Amoksisilliini ja entsyymi-inhibiittori</t>
  </si>
  <si>
    <t>AMORION COMP</t>
  </si>
  <si>
    <t>BIOCLAVID</t>
  </si>
  <si>
    <t>80 / 11.4 mg/ml</t>
  </si>
  <si>
    <t>35 ml</t>
  </si>
  <si>
    <t>AUGMENTIN</t>
  </si>
  <si>
    <t>SmithKline Beecham Ltd</t>
  </si>
  <si>
    <t>70 ml</t>
  </si>
  <si>
    <t>875 mg / 125 mg</t>
  </si>
  <si>
    <t>KEFEXIN</t>
  </si>
  <si>
    <t>Kefaleksiini</t>
  </si>
  <si>
    <t>KEFALEX</t>
  </si>
  <si>
    <t>TRIMOPAN</t>
  </si>
  <si>
    <t>Trimetopriimi</t>
  </si>
  <si>
    <t>TRIMETIN</t>
  </si>
  <si>
    <t>160 mg</t>
  </si>
  <si>
    <t>ROXITHROMYCIN SANDOZ</t>
  </si>
  <si>
    <t>Roksitromysiini</t>
  </si>
  <si>
    <t>ROXITHROMYCIN ORIFARM</t>
  </si>
  <si>
    <t>Orifarm Generics A/S</t>
  </si>
  <si>
    <t>ZECLAR</t>
  </si>
  <si>
    <t>250 mg</t>
  </si>
  <si>
    <t>Klaritromysiini</t>
  </si>
  <si>
    <t>CLARITHROMYCIN RATIOPHARM</t>
  </si>
  <si>
    <t>TEVA Sweden AB</t>
  </si>
  <si>
    <t>MILORIDE MITE</t>
  </si>
  <si>
    <t>Hydroklooritiatsidi ja kaliumia säästävät diureetit</t>
  </si>
  <si>
    <t>SPARKAL MITE</t>
  </si>
  <si>
    <t>DIUREX MITE</t>
  </si>
  <si>
    <t>DIURAMIN MITE</t>
  </si>
  <si>
    <t>AMITRID MITE</t>
  </si>
  <si>
    <t>MILORIDE</t>
  </si>
  <si>
    <t>SPARKAL</t>
  </si>
  <si>
    <t>DIURAMIN</t>
  </si>
  <si>
    <t>AMITRID</t>
  </si>
  <si>
    <t>DIUREX</t>
  </si>
  <si>
    <t>KLACID</t>
  </si>
  <si>
    <t>rakeet oraalisuspensiota varten</t>
  </si>
  <si>
    <t>BGP Products AB</t>
  </si>
  <si>
    <t>CLINDAMYCIN MIP</t>
  </si>
  <si>
    <t>Klindamysiini</t>
  </si>
  <si>
    <t>MIP Pharma GmbH</t>
  </si>
  <si>
    <t>CLINDAMYCIN ORION</t>
  </si>
  <si>
    <t>DALACIN</t>
  </si>
  <si>
    <t>kapseli</t>
  </si>
  <si>
    <t>CLINDAMYCIN SANDOZ</t>
  </si>
  <si>
    <t>CIPROFLOXACIN RATIOPHARM</t>
  </si>
  <si>
    <t>Siprofloksasiini</t>
  </si>
  <si>
    <t>CIPROFLOXACIN ORION</t>
  </si>
  <si>
    <t>CIPROFLOXACIN HEXAL</t>
  </si>
  <si>
    <t>CIPROXIN</t>
  </si>
  <si>
    <t>Bayer Pharma AG</t>
  </si>
  <si>
    <t>FLUCONAZOL ORION</t>
  </si>
  <si>
    <t>Flukonatsoli</t>
  </si>
  <si>
    <t>FLUCONAZOL KRKA</t>
  </si>
  <si>
    <t>DIFLUCAN</t>
  </si>
  <si>
    <t>ACYRAX</t>
  </si>
  <si>
    <t>Asikloviiri</t>
  </si>
  <si>
    <t>ZOVIRAX</t>
  </si>
  <si>
    <t>The Wellcome Foundation Limited</t>
  </si>
  <si>
    <t>ACLOVIR</t>
  </si>
  <si>
    <t>ACYCLOSTAD</t>
  </si>
  <si>
    <t>ACICLOVIR SANDOZ</t>
  </si>
  <si>
    <t>400 mg</t>
  </si>
  <si>
    <t>800 mg</t>
  </si>
  <si>
    <t>VALTREX</t>
  </si>
  <si>
    <t>Valasikloviiri</t>
  </si>
  <si>
    <t>VALACICLOVIR RATIOPHARM</t>
  </si>
  <si>
    <t>VALAVIR</t>
  </si>
  <si>
    <t>TREXAN</t>
  </si>
  <si>
    <t>Metotreksaatti</t>
  </si>
  <si>
    <t>HYDREA</t>
  </si>
  <si>
    <t>Hydroksikarbamidi</t>
  </si>
  <si>
    <t>HYDROXYUREA MEDAC</t>
  </si>
  <si>
    <t>medac Gesellschaft für klinische Spezialpräparate mbH</t>
  </si>
  <si>
    <t>Bristol-Myers Squibb Ab</t>
  </si>
  <si>
    <t>TAMOFEN</t>
  </si>
  <si>
    <t>Tamoksifeeni</t>
  </si>
  <si>
    <t>TADEX</t>
  </si>
  <si>
    <t>BICAVAN</t>
  </si>
  <si>
    <t>Bikalutamidi</t>
  </si>
  <si>
    <t>Avansor Pharma Oy</t>
  </si>
  <si>
    <t>CASODEX</t>
  </si>
  <si>
    <t>BICALUTAMID ORION</t>
  </si>
  <si>
    <t>AZATHIOPRIN MEDAC</t>
  </si>
  <si>
    <t>Atsatiopriini</t>
  </si>
  <si>
    <t>AZAMUN</t>
  </si>
  <si>
    <t>IMUREL</t>
  </si>
  <si>
    <t>Aspen Pharma Trading Limited</t>
  </si>
  <si>
    <t>DICLOMEX</t>
  </si>
  <si>
    <t>Diklofenaakki</t>
  </si>
  <si>
    <t>VOLTAREN</t>
  </si>
  <si>
    <t>DICLOMEX RAPID</t>
  </si>
  <si>
    <t>DICUNO</t>
  </si>
  <si>
    <t>DICLOFENAC RAPID ORIFARM</t>
  </si>
  <si>
    <t>VOLTAREN RAPID</t>
  </si>
  <si>
    <t>MELOXICAM RATIOPHARM</t>
  </si>
  <si>
    <t>Meloksikaami</t>
  </si>
  <si>
    <t>MELOXICAM ORION</t>
  </si>
  <si>
    <t>MOBIC</t>
  </si>
  <si>
    <t>Boehringer Ingelheim International GmbH</t>
  </si>
  <si>
    <t>7.5 mg</t>
  </si>
  <si>
    <t>IBUXIN</t>
  </si>
  <si>
    <t>Ibuprofeeni</t>
  </si>
  <si>
    <t>BURANA</t>
  </si>
  <si>
    <t>IBUMAX</t>
  </si>
  <si>
    <t>IBUMETIN</t>
  </si>
  <si>
    <t>IBUSAL</t>
  </si>
  <si>
    <t>600 mg</t>
  </si>
  <si>
    <t>PRONAXEN</t>
  </si>
  <si>
    <t>Naprokseeni</t>
  </si>
  <si>
    <t>NAPROMEX</t>
  </si>
  <si>
    <t>NAPROXEN MYLAN</t>
  </si>
  <si>
    <t>KETO</t>
  </si>
  <si>
    <t>Ketoprofeeni</t>
  </si>
  <si>
    <t>ORUDIS</t>
  </si>
  <si>
    <t>KETOMEX</t>
  </si>
  <si>
    <t>LIORESAL</t>
  </si>
  <si>
    <t>Baklofeeni</t>
  </si>
  <si>
    <t>BAKLOFEN MYLAN</t>
  </si>
  <si>
    <t>SIRDALUD</t>
  </si>
  <si>
    <t>Titsanidiini</t>
  </si>
  <si>
    <t>TIZANIDIN ACTAVIS</t>
  </si>
  <si>
    <t>TIZANIDIN ORION</t>
  </si>
  <si>
    <t>TIZANIDIN TEVA</t>
  </si>
  <si>
    <t>ZYLORIC</t>
  </si>
  <si>
    <t>Allopurinoli</t>
  </si>
  <si>
    <t>Aspen Pharma Trading Ltd</t>
  </si>
  <si>
    <t>ALLONOL</t>
  </si>
  <si>
    <t>APURIN SANDOZ</t>
  </si>
  <si>
    <t>PARAMAX-COD</t>
  </si>
  <si>
    <t>500 mg / 30 mg</t>
  </si>
  <si>
    <t>Kodeiini, yhdistelmävalmisteet</t>
  </si>
  <si>
    <t>ALTERMOL</t>
  </si>
  <si>
    <t>Alternova A/S</t>
  </si>
  <si>
    <t>PANACOD</t>
  </si>
  <si>
    <t>PARACETAMOL/CODEIN ORION</t>
  </si>
  <si>
    <t>TRAMADOL HEXAL</t>
  </si>
  <si>
    <t>Tramadoli</t>
  </si>
  <si>
    <t>TRAMADOL VITABALANS</t>
  </si>
  <si>
    <t>TRAMADIN</t>
  </si>
  <si>
    <t>TRAMAL</t>
  </si>
  <si>
    <t>PARACETAMOL-RATIOPHARM</t>
  </si>
  <si>
    <t>Parasetamoli</t>
  </si>
  <si>
    <t>PAMOL</t>
  </si>
  <si>
    <t>PARAMAX RAP</t>
  </si>
  <si>
    <t>ROLOD</t>
  </si>
  <si>
    <t>PANADOL NOVUM</t>
  </si>
  <si>
    <t>GlaxoSmithKline Consumer Healthcare A/S</t>
  </si>
  <si>
    <t>PARA-TABS</t>
  </si>
  <si>
    <t>IMIGRAN RADIS</t>
  </si>
  <si>
    <t>Sumatriptaani</t>
  </si>
  <si>
    <t>SUMATRIPTAN SANDOZ</t>
  </si>
  <si>
    <t>SUMATRIPTAN TEVA</t>
  </si>
  <si>
    <t>SUMATRIPTAN ACCORD</t>
  </si>
  <si>
    <t>ORIPTAN</t>
  </si>
  <si>
    <t>ZOLMITRIPTAN ACTAVIS</t>
  </si>
  <si>
    <t>Tsolmitriptaani</t>
  </si>
  <si>
    <t>tabletti, suussa hajoava</t>
  </si>
  <si>
    <t>ZOLMITRIPTAN SANDOZ</t>
  </si>
  <si>
    <t>ZOLMITRIPTAN RATIOPHARM</t>
  </si>
  <si>
    <t>ZOMIG RAPIMELT</t>
  </si>
  <si>
    <t>ZOLMITRIPTAN STADA</t>
  </si>
  <si>
    <t>ZOLMISTAD</t>
  </si>
  <si>
    <t>ZOMIG</t>
  </si>
  <si>
    <t>LEVODOPA/CARBIDOPA ACCORD</t>
  </si>
  <si>
    <t>200 mg / 50 mg</t>
  </si>
  <si>
    <t>depottabletti</t>
  </si>
  <si>
    <t>Levodopa ja dekarboksylaasin estäjä</t>
  </si>
  <si>
    <t>SINEMET DEPOT</t>
  </si>
  <si>
    <t>50 mg / 200 mg</t>
  </si>
  <si>
    <t>LEVOCAR</t>
  </si>
  <si>
    <t>SINEMET</t>
  </si>
  <si>
    <t>25 mg / 100 mg</t>
  </si>
  <si>
    <t>KARDOPAL</t>
  </si>
  <si>
    <t>100 mg / 25 mg</t>
  </si>
  <si>
    <t>SELEGILIN MYLAN</t>
  </si>
  <si>
    <t>Selegiliini</t>
  </si>
  <si>
    <t>ELDEPRYL</t>
  </si>
  <si>
    <t>MEDIPAM</t>
  </si>
  <si>
    <t>Diatsepaami</t>
  </si>
  <si>
    <t>STESOLID</t>
  </si>
  <si>
    <t>DIAPAM</t>
  </si>
  <si>
    <t>OXAMIN</t>
  </si>
  <si>
    <t>Oksatsepaami</t>
  </si>
  <si>
    <t>OPAMOX</t>
  </si>
  <si>
    <t>XANOR</t>
  </si>
  <si>
    <t>0.25 mg</t>
  </si>
  <si>
    <t>Alpratsolaami</t>
  </si>
  <si>
    <t>ALPROX</t>
  </si>
  <si>
    <t>0.5 mg</t>
  </si>
  <si>
    <t>1 mg</t>
  </si>
  <si>
    <t>ANKSILON</t>
  </si>
  <si>
    <t>Buspironi</t>
  </si>
  <si>
    <t>BUSPIRON ACTAVIS</t>
  </si>
  <si>
    <t>ZOPIKLON MYLAN</t>
  </si>
  <si>
    <t>Tsopikloni</t>
  </si>
  <si>
    <t>ZOPITIN</t>
  </si>
  <si>
    <t>ZOPINOX</t>
  </si>
  <si>
    <t>ZOPICLONE ACTAVIS</t>
  </si>
  <si>
    <t>IMOVANE</t>
  </si>
  <si>
    <t>ZOPITABS</t>
  </si>
  <si>
    <t>As Grindex</t>
  </si>
  <si>
    <t>STELLA</t>
  </si>
  <si>
    <t>Tsolpideemi</t>
  </si>
  <si>
    <t>ZOLPIDEM-RATIOPHARM</t>
  </si>
  <si>
    <t>SOMNOR</t>
  </si>
  <si>
    <t>ZOLPIDEM VITABALANS</t>
  </si>
  <si>
    <t>STILNOCT</t>
  </si>
  <si>
    <t>ZOLPIDEM HEXAL</t>
  </si>
  <si>
    <t>FLUOXETIN SANDOZ</t>
  </si>
  <si>
    <t>Fluoksetiini</t>
  </si>
  <si>
    <t>FLUOXETINE VITABALANS</t>
  </si>
  <si>
    <t>SEROMEX</t>
  </si>
  <si>
    <t>SERONIL</t>
  </si>
  <si>
    <t>FLUOXETIN MYLAN</t>
  </si>
  <si>
    <t>SEPRAM</t>
  </si>
  <si>
    <t>Sitalopraami</t>
  </si>
  <si>
    <t>H. Lundbeck A/S</t>
  </si>
  <si>
    <t>CITALOPRAM ORION</t>
  </si>
  <si>
    <t>CITALOPRAM-RATIOPHARM</t>
  </si>
  <si>
    <t>CITALOPRAM VITABALANS</t>
  </si>
  <si>
    <t>OPTIPAR</t>
  </si>
  <si>
    <t>Paroksetiini</t>
  </si>
  <si>
    <t>PAROXETIN ORION</t>
  </si>
  <si>
    <t>SEROXAT</t>
  </si>
  <si>
    <t>PAROXETIN RATIOPHARM</t>
  </si>
  <si>
    <t>MOCLOBEMID RATIOPHARM</t>
  </si>
  <si>
    <t>Moklobemidi</t>
  </si>
  <si>
    <t>AURORIX</t>
  </si>
  <si>
    <t>Meda Oy</t>
  </si>
  <si>
    <t>RIVASTIGMINE SANDOZ</t>
  </si>
  <si>
    <t>Rivastigmiini</t>
  </si>
  <si>
    <t>RIVASTIGMIN ORION</t>
  </si>
  <si>
    <t>NIMVASTID</t>
  </si>
  <si>
    <t>KRKA, d.d., Novo mesto</t>
  </si>
  <si>
    <t>EXELON</t>
  </si>
  <si>
    <t>Novartis Europharm Ltd</t>
  </si>
  <si>
    <t>RIVASTIGMINE ACTAVIS</t>
  </si>
  <si>
    <t>RIVASTIGMIN STADA</t>
  </si>
  <si>
    <t>3 mg</t>
  </si>
  <si>
    <t>4.5 mg</t>
  </si>
  <si>
    <t>6 mg</t>
  </si>
  <si>
    <t>ADAXOR</t>
  </si>
  <si>
    <t>Memantiini</t>
  </si>
  <si>
    <t>EBIXA</t>
  </si>
  <si>
    <t>MEMANTINE MERZ</t>
  </si>
  <si>
    <t>Merz Pharma GmbH &amp; Co. KGaA</t>
  </si>
  <si>
    <t>MARBODIN</t>
  </si>
  <si>
    <t>MEMANTINE RATIOPHARM</t>
  </si>
  <si>
    <t>MEMANTINE ACCORD</t>
  </si>
  <si>
    <t>MEMANTINE LEK</t>
  </si>
  <si>
    <t>Pharmathen S.A.</t>
  </si>
  <si>
    <t>MEMANTIN ORION</t>
  </si>
  <si>
    <t>MENTIXA</t>
  </si>
  <si>
    <t>HCS bvba</t>
  </si>
  <si>
    <t>NEMDATINE</t>
  </si>
  <si>
    <t>MEMANTINE SANDOZ</t>
  </si>
  <si>
    <t>5 mg / pumpun painallus</t>
  </si>
  <si>
    <t>MEMANTIN STADA</t>
  </si>
  <si>
    <t>10 mg/ml</t>
  </si>
  <si>
    <t>NALTREXONE POA PHARMA</t>
  </si>
  <si>
    <t>Naltreksoni</t>
  </si>
  <si>
    <t>POA Pharma Scandinavia AB</t>
  </si>
  <si>
    <t>NALTREXON ACCORD</t>
  </si>
  <si>
    <t>BETAHISTIN ORIFARM</t>
  </si>
  <si>
    <t>Betahistiini</t>
  </si>
  <si>
    <t>BETASERC</t>
  </si>
  <si>
    <t>BETAHISTIN ORIFARM GENERICS</t>
  </si>
  <si>
    <t>BETAHISTIN RATIOPHARM</t>
  </si>
  <si>
    <t>8 mg</t>
  </si>
  <si>
    <t>FLAGYL</t>
  </si>
  <si>
    <t>Metronidatsoli</t>
  </si>
  <si>
    <t>TRIKOZOL</t>
  </si>
  <si>
    <t>FLIXONASE</t>
  </si>
  <si>
    <t>50 mikrog/annos</t>
  </si>
  <si>
    <t>nenäsumute, suspensio</t>
  </si>
  <si>
    <t>150 annosta</t>
  </si>
  <si>
    <t>Flutikasoni</t>
  </si>
  <si>
    <t>NASOFAN</t>
  </si>
  <si>
    <t>HEINIX</t>
  </si>
  <si>
    <t>Setiritsiini</t>
  </si>
  <si>
    <t>Verman Oy Ab</t>
  </si>
  <si>
    <t>CETIRIZIN-RATIOPHARM</t>
  </si>
  <si>
    <t>ALZYR</t>
  </si>
  <si>
    <t>HISTEC</t>
  </si>
  <si>
    <t>CETIMAX</t>
  </si>
  <si>
    <t>CETIRIZIN BLUEFISH</t>
  </si>
  <si>
    <t>TUULIX</t>
  </si>
  <si>
    <t>Loratadiini</t>
  </si>
  <si>
    <t>LORATADIN RATIOPHARM</t>
  </si>
  <si>
    <t>LORATADIN ACTAVIS</t>
  </si>
  <si>
    <t>LORATADIN SANDOZ</t>
  </si>
  <si>
    <t>DESLORATADIN STADA</t>
  </si>
  <si>
    <t>0.5 mg/ml</t>
  </si>
  <si>
    <t>120 ml</t>
  </si>
  <si>
    <t>Desloratadiini</t>
  </si>
  <si>
    <t>AERIUS</t>
  </si>
  <si>
    <t>Merck Sharp &amp; Dohme Limited</t>
  </si>
  <si>
    <t>DESLORATADINE RATIOPHARM</t>
  </si>
  <si>
    <t>DESLORATADINE ACTAVIS</t>
  </si>
  <si>
    <t>DASSELTA</t>
  </si>
  <si>
    <t>DESLORATADINE TEVA</t>
  </si>
  <si>
    <t>Teva B.V.</t>
  </si>
  <si>
    <t>DESLORATADIN MYLAN</t>
  </si>
  <si>
    <t>DESLORATADINE SANDOZ</t>
  </si>
  <si>
    <t>BLOCANOL</t>
  </si>
  <si>
    <t>5 mg/ml</t>
  </si>
  <si>
    <t>silmätipat, liuos</t>
  </si>
  <si>
    <t>5 ml</t>
  </si>
  <si>
    <t>Timololi</t>
  </si>
  <si>
    <t>Santen Oy</t>
  </si>
  <si>
    <t>OFTAN TIMOLOL</t>
  </si>
  <si>
    <t>METOPROLOL KRKA</t>
  </si>
  <si>
    <t>190 mg</t>
  </si>
  <si>
    <t>Metoprololi</t>
  </si>
  <si>
    <t>METOHEXAL</t>
  </si>
  <si>
    <t>SPESICOR DOS</t>
  </si>
  <si>
    <t>SELOKEN ZOC</t>
  </si>
  <si>
    <t>METOPROLOL RATIOPHARM</t>
  </si>
  <si>
    <t>METOPROLOL ORION</t>
  </si>
  <si>
    <t>METOMYLAN</t>
  </si>
  <si>
    <t>95 mg</t>
  </si>
  <si>
    <t>FELODIPIN RATIOPHARM</t>
  </si>
  <si>
    <t>Felodipiini</t>
  </si>
  <si>
    <t>FELODIPIN HEXAL</t>
  </si>
  <si>
    <t>PLENDIL</t>
  </si>
  <si>
    <t>FELODIPIN ACTAVIS</t>
  </si>
  <si>
    <t>NIFEDIPIN ALTERNOVA</t>
  </si>
  <si>
    <t>Nifedipiini</t>
  </si>
  <si>
    <t>ADALAT OROS</t>
  </si>
  <si>
    <t>60 mg</t>
  </si>
  <si>
    <t>LOCERYL</t>
  </si>
  <si>
    <t>lääkekynsilakka</t>
  </si>
  <si>
    <t>Amorolfiini</t>
  </si>
  <si>
    <t>Galderma Nordic AB</t>
  </si>
  <si>
    <t>AMOROLFIN RATIOPHARM</t>
  </si>
  <si>
    <t>FUNGORIN</t>
  </si>
  <si>
    <t>Terbinafiini</t>
  </si>
  <si>
    <t>TERBINAFIN HEXAL</t>
  </si>
  <si>
    <t>TERBINAFIN RATIOPHARM</t>
  </si>
  <si>
    <t>TERBINAFIN ACTAVIS</t>
  </si>
  <si>
    <t>FELDEN</t>
  </si>
  <si>
    <t>0.5 %</t>
  </si>
  <si>
    <t>geeli</t>
  </si>
  <si>
    <t>100 g (2 x 50 g)</t>
  </si>
  <si>
    <t>Piroksikaami</t>
  </si>
  <si>
    <t>100 g</t>
  </si>
  <si>
    <t>PIROXIN</t>
  </si>
  <si>
    <t>FROIDIR</t>
  </si>
  <si>
    <t>Klotsapiini</t>
  </si>
  <si>
    <t>LEPONEX</t>
  </si>
  <si>
    <t>VESIX SPECIAL</t>
  </si>
  <si>
    <t>REMERON SOLTAB</t>
  </si>
  <si>
    <t>Mirtatsapiini</t>
  </si>
  <si>
    <t>N.V. Organon</t>
  </si>
  <si>
    <t>MIRTAZAPIN RATIOPHARM</t>
  </si>
  <si>
    <t>MIRTAZAPIN ACTAVIS</t>
  </si>
  <si>
    <t>MIRTAZAPIN KRKA</t>
  </si>
  <si>
    <t>MIRTAZAPIN ORION</t>
  </si>
  <si>
    <t>HYPOLOC</t>
  </si>
  <si>
    <t>Nebivololi</t>
  </si>
  <si>
    <t>Menarini International Operations Luxembourg S.A.</t>
  </si>
  <si>
    <t>NEBIVOLOL ORION</t>
  </si>
  <si>
    <t>TAMICTOR</t>
  </si>
  <si>
    <t>säädellysti vapauttava kapseli, kova</t>
  </si>
  <si>
    <t>Tamsulosiini</t>
  </si>
  <si>
    <t>TAMSULOSIINIHYDROKLORIDI ORION</t>
  </si>
  <si>
    <t>depotkapseli, kova</t>
  </si>
  <si>
    <t>EXPROS</t>
  </si>
  <si>
    <t>Astellas Pharma a/s</t>
  </si>
  <si>
    <t>OMNIC</t>
  </si>
  <si>
    <t>TAMSUMIN</t>
  </si>
  <si>
    <t>TAMSULOSIINIHYDROKLORIDI SANDOZ</t>
  </si>
  <si>
    <t>TAMSACT</t>
  </si>
  <si>
    <t>2 mg</t>
  </si>
  <si>
    <t>LOMUDAL</t>
  </si>
  <si>
    <t>40 mg/ml</t>
  </si>
  <si>
    <t>silmätipat, liuos, kerta-annospipetti</t>
  </si>
  <si>
    <t>60 x 0.35 ml</t>
  </si>
  <si>
    <t>Dinatriumkromoglikaatti</t>
  </si>
  <si>
    <t>LECROLYN</t>
  </si>
  <si>
    <t>60 x 0.25 ml</t>
  </si>
  <si>
    <t>AZITHROMYCIN SANDOZ</t>
  </si>
  <si>
    <t>Atsitromysiini</t>
  </si>
  <si>
    <t>AZITHROMYCIN KRKA</t>
  </si>
  <si>
    <t>AZITHROMYCIN STADA</t>
  </si>
  <si>
    <t>AZITHROMYCIN RATIOPHARM</t>
  </si>
  <si>
    <t>AZITHROMYCIN ORION</t>
  </si>
  <si>
    <t>Ranbaxy (UK) Limited</t>
  </si>
  <si>
    <t>ZITHROMAX</t>
  </si>
  <si>
    <t>AZOTORION</t>
  </si>
  <si>
    <t>45 mg</t>
  </si>
  <si>
    <t>NEXIUM</t>
  </si>
  <si>
    <t>Esomepratsoli</t>
  </si>
  <si>
    <t>ESOMEPRAZOL RATIOPHARM</t>
  </si>
  <si>
    <t>ESOMEPRAZOL ACTAVIS</t>
  </si>
  <si>
    <t>ESOMEPRAZOL SANDOZ</t>
  </si>
  <si>
    <t>ESOMEPRAZOL ORION</t>
  </si>
  <si>
    <t>ESOMEPRAZOL KRKA</t>
  </si>
  <si>
    <t>ESOMEPRAZOL NAVAMEDIC</t>
  </si>
  <si>
    <t>Navamedic ASA</t>
  </si>
  <si>
    <t>15 ml</t>
  </si>
  <si>
    <t>AZITHROMYCIN MYLAN</t>
  </si>
  <si>
    <t>22.5 ml</t>
  </si>
  <si>
    <t>NORVASC</t>
  </si>
  <si>
    <t>Amlodipiini</t>
  </si>
  <si>
    <t>AMLODIPIN ACTAVIS</t>
  </si>
  <si>
    <t>AMLODIPIN ORION</t>
  </si>
  <si>
    <t>AMLODIPIN KRKA</t>
  </si>
  <si>
    <t>AMLORATIO</t>
  </si>
  <si>
    <t>AMLODIPINE VITABALANS</t>
  </si>
  <si>
    <t>AMLODIPIN SANDOZ</t>
  </si>
  <si>
    <t>CALCICHEW D3 FORTE SITRUUNA</t>
  </si>
  <si>
    <t>500 mg / 10 mikrog</t>
  </si>
  <si>
    <t>purutabletti</t>
  </si>
  <si>
    <t>Kalsiumin yhdistelmävalmisteet D-vitamiinin ja/tai muiden lääkeaineiden kanssa</t>
  </si>
  <si>
    <t>CALCICHEW D3 FORTE MINTTU</t>
  </si>
  <si>
    <t>DONEPEZIL ORIFARM</t>
  </si>
  <si>
    <t>Donepetsiili</t>
  </si>
  <si>
    <t>DONEPEZIL ACCORD</t>
  </si>
  <si>
    <t>DONEPEZIL ACTAVIS</t>
  </si>
  <si>
    <t>DONEPEZIL KRKA</t>
  </si>
  <si>
    <t>DONEPEZIL ORION</t>
  </si>
  <si>
    <t>ARICEPT</t>
  </si>
  <si>
    <t>DONEPEZIL RATIOPHARM</t>
  </si>
  <si>
    <t>TEVA Pharma B.V.</t>
  </si>
  <si>
    <t>LIPITOR</t>
  </si>
  <si>
    <t>Atorvastatiini</t>
  </si>
  <si>
    <t>ATORVASTATIN ORION</t>
  </si>
  <si>
    <t>ATORVASTATIN KRKA</t>
  </si>
  <si>
    <t>ORBEOS</t>
  </si>
  <si>
    <t>ATORVASTATIN RATIOPHARM</t>
  </si>
  <si>
    <t>ATORVASTATIN PFIZER</t>
  </si>
  <si>
    <t>ATORBIR</t>
  </si>
  <si>
    <t>LIPISTAD</t>
  </si>
  <si>
    <t>STADA Arzneimittel AG</t>
  </si>
  <si>
    <t>ONDANSETRON STADA</t>
  </si>
  <si>
    <t>Ondansetroni</t>
  </si>
  <si>
    <t>ONDANSETRON BLUEFISH</t>
  </si>
  <si>
    <t>10 x 1</t>
  </si>
  <si>
    <t>ZOFRAN ZYDIS</t>
  </si>
  <si>
    <t>tabletti, kylmäkuivattu</t>
  </si>
  <si>
    <t>ZOFRAN</t>
  </si>
  <si>
    <t>DOLAN</t>
  </si>
  <si>
    <t>Orfenadriini, yhdistelmävalmisteet</t>
  </si>
  <si>
    <t>NORGESIC</t>
  </si>
  <si>
    <t>35 mg / 450 mg</t>
  </si>
  <si>
    <t>SERTRALIN PFIZER</t>
  </si>
  <si>
    <t>Sertraliini</t>
  </si>
  <si>
    <t>SERTRALIN KRKA</t>
  </si>
  <si>
    <t>SERTRALIN HEXAL</t>
  </si>
  <si>
    <t>SERTRALIN ORION</t>
  </si>
  <si>
    <t>SERTRALIN RATIOPHARM</t>
  </si>
  <si>
    <t>NEFOXEF</t>
  </si>
  <si>
    <t>120 mg</t>
  </si>
  <si>
    <t>Feksofenadiini</t>
  </si>
  <si>
    <t>OLANZAPIN AVANSOR</t>
  </si>
  <si>
    <t>Olantsapiini</t>
  </si>
  <si>
    <t>OLANZAPIN ORION</t>
  </si>
  <si>
    <t>OLANZAPIN RATIOPHARM</t>
  </si>
  <si>
    <t>ZALASTA</t>
  </si>
  <si>
    <t>ZYPREXA</t>
  </si>
  <si>
    <t>Eli Lilly Nederland BV</t>
  </si>
  <si>
    <t>OLANZAPIN SANDOZ</t>
  </si>
  <si>
    <t>OLANZAPINE ACCORD</t>
  </si>
  <si>
    <t>GLIMEPIRID SANDOZ</t>
  </si>
  <si>
    <t>Glimepiridi</t>
  </si>
  <si>
    <t>AMARYL</t>
  </si>
  <si>
    <t>DULOXETINE ACCORD</t>
  </si>
  <si>
    <t>Duloksetiini</t>
  </si>
  <si>
    <t>CYMBALTA</t>
  </si>
  <si>
    <t>DULOXETINE ORION</t>
  </si>
  <si>
    <t>DULOXETINE MYLAN</t>
  </si>
  <si>
    <t>Generics (UK) Limited</t>
  </si>
  <si>
    <t>DULOXETINE RATIOPHARM</t>
  </si>
  <si>
    <t>DULOXETINE KRKA</t>
  </si>
  <si>
    <t>DULOXETIN STADA</t>
  </si>
  <si>
    <t>NOCEDAN</t>
  </si>
  <si>
    <t>Levosetiritsiini</t>
  </si>
  <si>
    <t>LEVOCETIRIZIN STADA</t>
  </si>
  <si>
    <t>XYZAL</t>
  </si>
  <si>
    <t>LEVAZYR</t>
  </si>
  <si>
    <t>LEVOCETIRIZIN RATIOPHARM</t>
  </si>
  <si>
    <t>QUETIAPINE ACCORD</t>
  </si>
  <si>
    <t>Ketiapiini</t>
  </si>
  <si>
    <t>KETIPINOR</t>
  </si>
  <si>
    <t>QUETIAPIN MYLAN</t>
  </si>
  <si>
    <t>QUETIAPINE TEVA</t>
  </si>
  <si>
    <t>100 (10 x 10)</t>
  </si>
  <si>
    <t>SEROQUEL</t>
  </si>
  <si>
    <t>QUETIAPIN ACTAVIS</t>
  </si>
  <si>
    <t>COZAAR</t>
  </si>
  <si>
    <t>Losartaani</t>
  </si>
  <si>
    <t>LOSARTAN ORION</t>
  </si>
  <si>
    <t>LOSARTAN KRKA</t>
  </si>
  <si>
    <t>LOSATRIX</t>
  </si>
  <si>
    <t>LOSARSTAD</t>
  </si>
  <si>
    <t>LATANOPROST PFIZER</t>
  </si>
  <si>
    <t>50 mikrog/ml</t>
  </si>
  <si>
    <t>2.5 ml</t>
  </si>
  <si>
    <t>Latanoprosti</t>
  </si>
  <si>
    <t>LATANOPROST RATIOPHARM</t>
  </si>
  <si>
    <t>XALATAN</t>
  </si>
  <si>
    <t>LATANOPROST SANDOZ</t>
  </si>
  <si>
    <t>3 x 2.5 ml</t>
  </si>
  <si>
    <t>OFTASTAD</t>
  </si>
  <si>
    <t>ZYPREXA VELOTAB</t>
  </si>
  <si>
    <t>Dema Consult s.r.o.</t>
  </si>
  <si>
    <t>50 mg/g</t>
  </si>
  <si>
    <t>emulsiovoide</t>
  </si>
  <si>
    <t>10 g</t>
  </si>
  <si>
    <t>WARTEC</t>
  </si>
  <si>
    <t>liuos penslaukseen</t>
  </si>
  <si>
    <t>3 ml</t>
  </si>
  <si>
    <t>Podofyllotoksiini</t>
  </si>
  <si>
    <t>HYDROCORTISON-RATIOPHARM</t>
  </si>
  <si>
    <t>50 g</t>
  </si>
  <si>
    <t>Hydrokortisoni</t>
  </si>
  <si>
    <t>HYDROCORTISON APOBASE</t>
  </si>
  <si>
    <t>HYDERM</t>
  </si>
  <si>
    <t>ACO Hud Nordic AB</t>
  </si>
  <si>
    <t>HYDROCORTISON</t>
  </si>
  <si>
    <t>LOCOID</t>
  </si>
  <si>
    <t>0.1 %</t>
  </si>
  <si>
    <t>Hydrokortisonibutyraatti</t>
  </si>
  <si>
    <t>BUCORT</t>
  </si>
  <si>
    <t>BEMETSON</t>
  </si>
  <si>
    <t>Beetametasoni</t>
  </si>
  <si>
    <t>voide</t>
  </si>
  <si>
    <t>BETNOVAT SCALP</t>
  </si>
  <si>
    <t>1 mg/ml</t>
  </si>
  <si>
    <t>liuos iholle</t>
  </si>
  <si>
    <t>liuos päänahkaan</t>
  </si>
  <si>
    <t>ARIPIPRAZOLE RATIOPHARM</t>
  </si>
  <si>
    <t>Aripipratsoli</t>
  </si>
  <si>
    <t>ARIPIPRAZOL KRKA</t>
  </si>
  <si>
    <t>ARIPIPRAZOLE ACCORD</t>
  </si>
  <si>
    <t>28 x 1</t>
  </si>
  <si>
    <t>ARIPIPRAZOL STADA</t>
  </si>
  <si>
    <t>56 x 1</t>
  </si>
  <si>
    <t>ABILIFY</t>
  </si>
  <si>
    <t>Otsuka Pharmaceutical Europe Ltd.</t>
  </si>
  <si>
    <t>ARIPIPRAZOLE SANDOZ</t>
  </si>
  <si>
    <t>LEMILVO</t>
  </si>
  <si>
    <t>ARIPIPRAZOLE AVANSOR</t>
  </si>
  <si>
    <t>98 x 1</t>
  </si>
  <si>
    <t>ISOTRETINOIN ACTAVIS</t>
  </si>
  <si>
    <t>kapseli, pehmeä</t>
  </si>
  <si>
    <t>Isotretinoiini</t>
  </si>
  <si>
    <t>ROACCUTAN</t>
  </si>
  <si>
    <t>ISOTRETINOIN ORIFARM</t>
  </si>
  <si>
    <t>ISOTRETINOIN ORION</t>
  </si>
  <si>
    <t>ISOTRETINOIN RATIOPHARM</t>
  </si>
  <si>
    <t>NATRILIX RETARD</t>
  </si>
  <si>
    <t>Indapamidi</t>
  </si>
  <si>
    <t>INDAPAMIDE ORION</t>
  </si>
  <si>
    <t>SPASMO-LYT PLUS</t>
  </si>
  <si>
    <t>Trospium</t>
  </si>
  <si>
    <t>Madaus GmbH</t>
  </si>
  <si>
    <t>TROSPIUM VERMAN</t>
  </si>
  <si>
    <t>23.75 mg</t>
  </si>
  <si>
    <t>47.5 mg</t>
  </si>
  <si>
    <t>METOPROLIN</t>
  </si>
  <si>
    <t>SELOKEN</t>
  </si>
  <si>
    <t>KLACID OD</t>
  </si>
  <si>
    <t>säädellysti vapauttava tabletti</t>
  </si>
  <si>
    <t>ZECLAR OD</t>
  </si>
  <si>
    <t>DIFORMIN RETARD</t>
  </si>
  <si>
    <t>depottabletti, kalvopäällysteinen</t>
  </si>
  <si>
    <t>TRAMADOL RETARD HEXAL</t>
  </si>
  <si>
    <t>TRADOLAN RETARD</t>
  </si>
  <si>
    <t>G.L. Pharma GmbH</t>
  </si>
  <si>
    <t>TRAMAL RETARD</t>
  </si>
  <si>
    <t>Grünenthal GmbH</t>
  </si>
  <si>
    <t>ALFUZOSIN HYDROCHLORID RATIOPHARM</t>
  </si>
  <si>
    <t>Alfutsosiini</t>
  </si>
  <si>
    <t>XATRAL CR</t>
  </si>
  <si>
    <t>GLINOR</t>
  </si>
  <si>
    <t>5.2 mg/annos</t>
  </si>
  <si>
    <t>nenäsumute, liuos</t>
  </si>
  <si>
    <t>15 ml (100 annosta)</t>
  </si>
  <si>
    <t>ORIDIP</t>
  </si>
  <si>
    <t>Lerkanidipiini</t>
  </si>
  <si>
    <t>ZANIDIP</t>
  </si>
  <si>
    <t>LERCANIDIPIN HYDROCHLORID ACTAVIS</t>
  </si>
  <si>
    <t>ANAZOL</t>
  </si>
  <si>
    <t>Anastrotsoli</t>
  </si>
  <si>
    <t>ANASTROZOLE TEVA</t>
  </si>
  <si>
    <t>ANASTROZOL STADA</t>
  </si>
  <si>
    <t>ARIMIDEX</t>
  </si>
  <si>
    <t>ANASTROZOL SANDOZ</t>
  </si>
  <si>
    <t>STALEVO</t>
  </si>
  <si>
    <t>50 mg / 12.5 mg / 200 mg</t>
  </si>
  <si>
    <t>Levodopa, dekarboksylaasin estäjä ja COMT-estäjä</t>
  </si>
  <si>
    <t>PENTIRO</t>
  </si>
  <si>
    <t>LEVODOPA/CARBIDOPA/ENTACAPONE ORION</t>
  </si>
  <si>
    <t>100 mg / 25 mg / 200 mg</t>
  </si>
  <si>
    <t>150 mg / 37.5 mg / 200 mg</t>
  </si>
  <si>
    <t>CLOPIDOGREL ZENTIVA</t>
  </si>
  <si>
    <t>75 mg</t>
  </si>
  <si>
    <t>Klopidogreeli</t>
  </si>
  <si>
    <t>sanofi-aventis groupe</t>
  </si>
  <si>
    <t>CLOPIDOGREL ACCORD</t>
  </si>
  <si>
    <t>CLOPIDOGREL TEVA PHARMA</t>
  </si>
  <si>
    <t>CLOPIDOGREL KRKA</t>
  </si>
  <si>
    <t>CLOPIDOGREL MYLAN</t>
  </si>
  <si>
    <t>Mylan S.A.S.</t>
  </si>
  <si>
    <t>CLOPIDOGREL ORION</t>
  </si>
  <si>
    <t>CLOPIDOGREL ACTAVIS</t>
  </si>
  <si>
    <t>CLOPIDOGREL TEVA</t>
  </si>
  <si>
    <t>PLAVIX</t>
  </si>
  <si>
    <t>Sanofi Clir SNC</t>
  </si>
  <si>
    <t>TERBISTADA</t>
  </si>
  <si>
    <t>10 mg/g</t>
  </si>
  <si>
    <t>30 g</t>
  </si>
  <si>
    <t>PANTOPRAZOL KRKA</t>
  </si>
  <si>
    <t>Pantopratsoli</t>
  </si>
  <si>
    <t>SOMAC</t>
  </si>
  <si>
    <t>Takeda GmbH</t>
  </si>
  <si>
    <t>PANTOPRAZOL MYLAN</t>
  </si>
  <si>
    <t>PANTOPRAZOL PENSA</t>
  </si>
  <si>
    <t>PANTOPRAZOL SANDOZ</t>
  </si>
  <si>
    <t>PANZOR</t>
  </si>
  <si>
    <t>PANTOPRAZOL ACTAVIS</t>
  </si>
  <si>
    <t>PANTOPRAZOLE RATIOPHARM</t>
  </si>
  <si>
    <t>ALENDRONAT RATIOPHARM</t>
  </si>
  <si>
    <t>70 mg</t>
  </si>
  <si>
    <t>Alendronaatti</t>
  </si>
  <si>
    <t>ALENDRONAT MYLAN</t>
  </si>
  <si>
    <t>ALENDRONAT BLUEFISH</t>
  </si>
  <si>
    <t>ALENDRONAT SANDOZ</t>
  </si>
  <si>
    <t>KYTRIL</t>
  </si>
  <si>
    <t>Granisetroni</t>
  </si>
  <si>
    <t>GRANISETRON STADA</t>
  </si>
  <si>
    <t>ASTECON</t>
  </si>
  <si>
    <t>Montelukasti</t>
  </si>
  <si>
    <t>MONTELUKAST SANDOZ</t>
  </si>
  <si>
    <t>SINGULAIR</t>
  </si>
  <si>
    <t>MONTELUKAST KRKA</t>
  </si>
  <si>
    <t>MONTELUKAST ORION</t>
  </si>
  <si>
    <t>MONTELUKAST ACCORD</t>
  </si>
  <si>
    <t>MONTELUKAST TEVA</t>
  </si>
  <si>
    <t>OPRYMEA</t>
  </si>
  <si>
    <t>0.7 mg</t>
  </si>
  <si>
    <t>Pramipeksoli</t>
  </si>
  <si>
    <t>PRAMIPEXOL STADA</t>
  </si>
  <si>
    <t>PRAMIPEXOLE ORION</t>
  </si>
  <si>
    <t>PRAMIPEXOLE ACCORD</t>
  </si>
  <si>
    <t>0.18 mg</t>
  </si>
  <si>
    <t>SIFROL</t>
  </si>
  <si>
    <t>TELMISARTAN/HYDROCHLOROTHIAZIDE RATIOPHARM</t>
  </si>
  <si>
    <t>80 mg / 12.5 mg</t>
  </si>
  <si>
    <t>Telmisartaani ja diureetit</t>
  </si>
  <si>
    <t>TOLUCOMBI</t>
  </si>
  <si>
    <t>MICARDISPLUS</t>
  </si>
  <si>
    <t>KINZALKOMB</t>
  </si>
  <si>
    <t>LESAMOR</t>
  </si>
  <si>
    <t>MONTELUKAST ACTAVIS</t>
  </si>
  <si>
    <t>ZUMENON</t>
  </si>
  <si>
    <t>Estradioli</t>
  </si>
  <si>
    <t>3 x 28</t>
  </si>
  <si>
    <t>MONTELUKAST MYLAN</t>
  </si>
  <si>
    <t>KALCIPOS-D</t>
  </si>
  <si>
    <t>500 mg / 400 IU</t>
  </si>
  <si>
    <t>Recip AB</t>
  </si>
  <si>
    <t>RECIKALC-D</t>
  </si>
  <si>
    <t>LEVOFLOXACIN SANDOZ</t>
  </si>
  <si>
    <t>Levofloksasiini</t>
  </si>
  <si>
    <t>LEVOFLOXACIN ORION</t>
  </si>
  <si>
    <t>TAVANIC</t>
  </si>
  <si>
    <t>LEVOFLOXACIN KRKA</t>
  </si>
  <si>
    <t>40 mg / 12.5 mg</t>
  </si>
  <si>
    <t>SILDENAFIL SANDOZ</t>
  </si>
  <si>
    <t>Sildenafiili</t>
  </si>
  <si>
    <t>DIOVAN COMP</t>
  </si>
  <si>
    <t>160 mg / 12.5 mg</t>
  </si>
  <si>
    <t>Valsartaani ja diureetit</t>
  </si>
  <si>
    <t>VALSARTAN/HYDROKLORTIAZID ACTAVIS</t>
  </si>
  <si>
    <t>VALSARTAN/HYDROCHLOROTHIAZIDE SANDOZ</t>
  </si>
  <si>
    <t>VALSARTAN/HYDROCHLOROTHIAZIDE ORION</t>
  </si>
  <si>
    <t>VALSARTAN/HYDROCHLOROTHIAZIDE RATIOPHARM</t>
  </si>
  <si>
    <t>VALSARTAN/HYDROCHLOROTHIAZIDE KRKA</t>
  </si>
  <si>
    <t>VALSARSTAD COMP</t>
  </si>
  <si>
    <t>SILDENAFIL ACCORD</t>
  </si>
  <si>
    <t>SILDENAFIL ACTAVIS</t>
  </si>
  <si>
    <t>VIZARSIN</t>
  </si>
  <si>
    <t>SILDENAFIL RATIOPHARM</t>
  </si>
  <si>
    <t>SILDENAFIL ORION</t>
  </si>
  <si>
    <t>SILDENAFIL PFIZER</t>
  </si>
  <si>
    <t>12 x 1</t>
  </si>
  <si>
    <t>VIAGRA</t>
  </si>
  <si>
    <t>Pfizer Limited</t>
  </si>
  <si>
    <t>SILDENAFIL STADA</t>
  </si>
  <si>
    <t>ALMOGRAN</t>
  </si>
  <si>
    <t>Almotriptaani</t>
  </si>
  <si>
    <t>Almirall SA</t>
  </si>
  <si>
    <t>ALMOTRIPTAN SANDOZ</t>
  </si>
  <si>
    <t>RISPERIDON RATIOPHARM</t>
  </si>
  <si>
    <t>Risperidoni</t>
  </si>
  <si>
    <t>RISMYL</t>
  </si>
  <si>
    <t>RISPERIDON ORION</t>
  </si>
  <si>
    <t>RISPERIDON KRKA</t>
  </si>
  <si>
    <t>RISPERIDONE STADA</t>
  </si>
  <si>
    <t>RISPERIDON SANDOZ</t>
  </si>
  <si>
    <t>RISPERDAL</t>
  </si>
  <si>
    <t>Janssen-Cilag Oy</t>
  </si>
  <si>
    <t>TELMISARTAN STADA</t>
  </si>
  <si>
    <t>Telmisartaani</t>
  </si>
  <si>
    <t>TELMISARTAN RATIOPHARM</t>
  </si>
  <si>
    <t>MICARDIS</t>
  </si>
  <si>
    <t>TELMISARTAN SANDOZ</t>
  </si>
  <si>
    <t>TELMISARTAN ACTAVIS</t>
  </si>
  <si>
    <t>KINZALMONO</t>
  </si>
  <si>
    <t>TOLURA</t>
  </si>
  <si>
    <t>IPRAMOL</t>
  </si>
  <si>
    <t>0.5 mg / 2.5 mg per 2.5 ml</t>
  </si>
  <si>
    <t>sumutinliuos, kerta-annossäiliö</t>
  </si>
  <si>
    <t>60 (2x30) x 2.5 ml</t>
  </si>
  <si>
    <t>Salbutamoli ja ipratropiumbromidi</t>
  </si>
  <si>
    <t>60 x 2.5 ml</t>
  </si>
  <si>
    <t>ATRODUAL</t>
  </si>
  <si>
    <t>ATROVENT</t>
  </si>
  <si>
    <t>0.25 mg/ml</t>
  </si>
  <si>
    <t>60 x 2 ml</t>
  </si>
  <si>
    <t>Ipratropiumbromidi</t>
  </si>
  <si>
    <t>IPRAXA</t>
  </si>
  <si>
    <t>0.50 mg/annos</t>
  </si>
  <si>
    <t>COPRENESSA</t>
  </si>
  <si>
    <t>4 mg / 1.25 mg</t>
  </si>
  <si>
    <t>Perindopriili ja diureetit</t>
  </si>
  <si>
    <t>COVERSYL COMP NOVUM</t>
  </si>
  <si>
    <t>5 mg / 1.25 mg</t>
  </si>
  <si>
    <t>PERINDOPRIL/INDAPAMID SANDOZ</t>
  </si>
  <si>
    <t>EBIXA ALOITUSPAKKAUS</t>
  </si>
  <si>
    <t>5 mg, 10 mg, 15 mg, 20 mg</t>
  </si>
  <si>
    <t>7 + 7 + 7 + 7</t>
  </si>
  <si>
    <t>ADAXOR ALOITUSPAKKAUS</t>
  </si>
  <si>
    <t>MEMANTINE MERZ ALOITUSPAKKAUS</t>
  </si>
  <si>
    <t>5 mg+10 mg+15 mg+20 mg</t>
  </si>
  <si>
    <t>MEMANTINE RATIOPHARM ALOITUSPAKKAUS</t>
  </si>
  <si>
    <t>PENOMAX</t>
  </si>
  <si>
    <t>Pivmesillinaami</t>
  </si>
  <si>
    <t>SELEXID</t>
  </si>
  <si>
    <t>Leo Pharma A/S</t>
  </si>
  <si>
    <t>PARAMAX FORTE</t>
  </si>
  <si>
    <t>PARACETAMOL RATIOPHARM</t>
  </si>
  <si>
    <t>PANADOL FORTE</t>
  </si>
  <si>
    <t>TEMESTA</t>
  </si>
  <si>
    <t>Loratsepaami</t>
  </si>
  <si>
    <t>LORAZEPAM ORIFARM</t>
  </si>
  <si>
    <t>LORAZEPAM ORION</t>
  </si>
  <si>
    <t>ROSUVASTATIN ACCORD</t>
  </si>
  <si>
    <t>Rosuvastatiini</t>
  </si>
  <si>
    <t>ROSUVASTATIN SANDOZ</t>
  </si>
  <si>
    <t>ROSUVASTATIN ACTAVIS</t>
  </si>
  <si>
    <t>ROSUVASTATIN KRKA</t>
  </si>
  <si>
    <t>ROSUVASTATIN ORION</t>
  </si>
  <si>
    <t>ROSUVASTATIN RATIOPHARM</t>
  </si>
  <si>
    <t>CRESTOR</t>
  </si>
  <si>
    <t>ROSUVASTATIN MYLAN</t>
  </si>
  <si>
    <t>RISEDRONAT TEVA</t>
  </si>
  <si>
    <t>35 mg</t>
  </si>
  <si>
    <t>Risedronaatti</t>
  </si>
  <si>
    <t>OPTINATE SEPTIMUM</t>
  </si>
  <si>
    <t>RISEDRONAT SANDOZ</t>
  </si>
  <si>
    <t>EFEXOR DEPOT</t>
  </si>
  <si>
    <t>37.5 mg</t>
  </si>
  <si>
    <t>Venlafaksiini</t>
  </si>
  <si>
    <t>VENLAFAXIN KRKA</t>
  </si>
  <si>
    <t>VENLAFAXIN ACTAVIS</t>
  </si>
  <si>
    <t>VENLAFAXIN ORION</t>
  </si>
  <si>
    <t>VENLAFAXIN HEXAL</t>
  </si>
  <si>
    <t>REPAGLINID ACTAVIS</t>
  </si>
  <si>
    <t>Repaglinidi</t>
  </si>
  <si>
    <t>REPAGLINID STADA</t>
  </si>
  <si>
    <t>REPAGLINIDE KRKA</t>
  </si>
  <si>
    <t>REPAGLINIDE ACCORD</t>
  </si>
  <si>
    <t>VALSARTAN RATIOPHARM</t>
  </si>
  <si>
    <t>Valsartaani</t>
  </si>
  <si>
    <t>VALSARTAN KRKA</t>
  </si>
  <si>
    <t>VALSARTAN ORION</t>
  </si>
  <si>
    <t>VALSARTAN SANDOZ</t>
  </si>
  <si>
    <t>VALSARSTAD</t>
  </si>
  <si>
    <t>DIOVAN</t>
  </si>
  <si>
    <t>VALSARTAN ACTAVIS</t>
  </si>
  <si>
    <t>LOSARSTAD COMP</t>
  </si>
  <si>
    <t>50 mg / 12.5 mg</t>
  </si>
  <si>
    <t>Losartaani ja diureetit</t>
  </si>
  <si>
    <t>LOSARTAN/HYDROCHLOROTHIAZIDE ORION</t>
  </si>
  <si>
    <t>LOSARTAN/HYDROCHLOROTHIAZIDE KRKA</t>
  </si>
  <si>
    <t>COZAAR COMP</t>
  </si>
  <si>
    <t>LOSATRIX COMP</t>
  </si>
  <si>
    <t>COZAAR COMP FORTE</t>
  </si>
  <si>
    <t>MYCOPHENOLATE MOFETIL ACCORD</t>
  </si>
  <si>
    <t>Mykofenolihappo</t>
  </si>
  <si>
    <t>MYFENAX</t>
  </si>
  <si>
    <t>CELLCEPT</t>
  </si>
  <si>
    <t>Roche Registration Limited</t>
  </si>
  <si>
    <t>MYKOFENOLATMOFETIL ACTAVIS</t>
  </si>
  <si>
    <t>MYCOPHENOLATE MOFETIL SANDOZ</t>
  </si>
  <si>
    <t>BONVIVA</t>
  </si>
  <si>
    <t>Ibandronaatti</t>
  </si>
  <si>
    <t>IBANDRONAT STADA</t>
  </si>
  <si>
    <t>IBANDRONATE RATIOPHARM</t>
  </si>
  <si>
    <t>IBANDRONAT ACTAVIS</t>
  </si>
  <si>
    <t>CLASTEC</t>
  </si>
  <si>
    <t>160 mg / 25 mg</t>
  </si>
  <si>
    <t>80 mg / 25 mg</t>
  </si>
  <si>
    <t>0.088 mg</t>
  </si>
  <si>
    <t>0.35 mg</t>
  </si>
  <si>
    <t>OLANZAPINE MYLAN</t>
  </si>
  <si>
    <t>DORZOLAMIDE TEVA</t>
  </si>
  <si>
    <t>20 mg/ml</t>
  </si>
  <si>
    <t>Dortsolamidi</t>
  </si>
  <si>
    <t>TRUSOPT</t>
  </si>
  <si>
    <t>DORZOLAMID ACTAVIS</t>
  </si>
  <si>
    <t>10 mg / 2.5 mg</t>
  </si>
  <si>
    <t>8 mg / 2.5 mg</t>
  </si>
  <si>
    <t>LETROZOLE BLUEFISH</t>
  </si>
  <si>
    <t>Letrotsoli</t>
  </si>
  <si>
    <t>LETROZOLE SANDOZ</t>
  </si>
  <si>
    <t>LETROZOL ACCORD</t>
  </si>
  <si>
    <t>FEMAR</t>
  </si>
  <si>
    <t>LETROZOL RATIOPHARM</t>
  </si>
  <si>
    <t>LETROLAN</t>
  </si>
  <si>
    <t>LETROZOL STADA</t>
  </si>
  <si>
    <t>DORZOLAMIDE/TIMOLOL TEVA</t>
  </si>
  <si>
    <t>20 mg/ml + 5 mg/ml</t>
  </si>
  <si>
    <t>Timololi, yhdistelmävalmisteet</t>
  </si>
  <si>
    <t>DORZOLAMID/TIMOLOL SANDOZ</t>
  </si>
  <si>
    <t>COSOPT</t>
  </si>
  <si>
    <t>GLAUKOSTAD</t>
  </si>
  <si>
    <t>DORZOLAMID/TIMOLOL ACTAVIS</t>
  </si>
  <si>
    <t>DEMOSON</t>
  </si>
  <si>
    <t>1 mg/g</t>
  </si>
  <si>
    <t>Mometasoni</t>
  </si>
  <si>
    <t>ELOCON</t>
  </si>
  <si>
    <t>MOMMOX</t>
  </si>
  <si>
    <t>ESCITALOPRAM SANDOZ</t>
  </si>
  <si>
    <t>Essitalopraami</t>
  </si>
  <si>
    <t>ESCITALOPRAM ORION</t>
  </si>
  <si>
    <t>ESCITALOPRAM ACTAVIS</t>
  </si>
  <si>
    <t>ESCITALOPRAM RATIOPHARM</t>
  </si>
  <si>
    <t>ESCITALOPRAM LUNDBECK</t>
  </si>
  <si>
    <t>CIPRALEX</t>
  </si>
  <si>
    <t>ESCITALOPRAM KRKA</t>
  </si>
  <si>
    <t>ESCITALOPRAM NAVAMEDIC</t>
  </si>
  <si>
    <t>ESIPRAL</t>
  </si>
  <si>
    <t>ESCITALOPRAM ACCORD</t>
  </si>
  <si>
    <t>RIZATRIPTAN RATIOPHARM</t>
  </si>
  <si>
    <t>Ritsatriptaani</t>
  </si>
  <si>
    <t>RIZATRIPTAN SANDOZ</t>
  </si>
  <si>
    <t>MAXALT RAPITAB</t>
  </si>
  <si>
    <t>RIZASTAD</t>
  </si>
  <si>
    <t>PRAMIPEXOLE SANDOZ</t>
  </si>
  <si>
    <t>0.26 mg</t>
  </si>
  <si>
    <t>Boehringer Ingelheim Pharma GmbH &amp; Co. KG</t>
  </si>
  <si>
    <t>0.52 mg</t>
  </si>
  <si>
    <t>1.05 mg</t>
  </si>
  <si>
    <t>2.1 mg</t>
  </si>
  <si>
    <t>3.15 mg</t>
  </si>
  <si>
    <t>CLIOVELLE</t>
  </si>
  <si>
    <t>1 mg / 0.5 mg</t>
  </si>
  <si>
    <t>Noretisteroni ja estrogeeni</t>
  </si>
  <si>
    <t>Dr. Kade Pharmazeutische Fabrik GmbH</t>
  </si>
  <si>
    <t>LIVIAL</t>
  </si>
  <si>
    <t>Tiboloni</t>
  </si>
  <si>
    <t>TIBOLON ORIFARM</t>
  </si>
  <si>
    <t>TIBOCINA</t>
  </si>
  <si>
    <t>LOSARTAN/HYDROCHLOROTHIAZIDE SANDOZ</t>
  </si>
  <si>
    <t>100 mg / 12.5 mg</t>
  </si>
  <si>
    <t>TEMOMEDAC</t>
  </si>
  <si>
    <t>Temotsolomidi</t>
  </si>
  <si>
    <t>TEMODAL</t>
  </si>
  <si>
    <t>TEMOZOLOMIDE ACCORD</t>
  </si>
  <si>
    <t>TEMOZOLOMID RATIOPHARM</t>
  </si>
  <si>
    <t>140 mg</t>
  </si>
  <si>
    <t>180 mg</t>
  </si>
  <si>
    <t>320 mg</t>
  </si>
  <si>
    <t>BONDRONAT</t>
  </si>
  <si>
    <t>CANDESARTAN/HYDROCHLOROTHIAZIDE KRKA</t>
  </si>
  <si>
    <t>16 mg / 12.5 mg</t>
  </si>
  <si>
    <t>Kandesartaani ja diureetit</t>
  </si>
  <si>
    <t>CANDESARTAN/HYDROCHLOROTHIAZIDE ORION</t>
  </si>
  <si>
    <t>CANDEXETIL COMP</t>
  </si>
  <si>
    <t>CANDEMOX COMP</t>
  </si>
  <si>
    <t>CANDESARTAN/HYDROCHLORTHIAZID ACTAVIS</t>
  </si>
  <si>
    <t>CANDESTAD COMP</t>
  </si>
  <si>
    <t>ATACAND PLUS</t>
  </si>
  <si>
    <t>CANDEMOX</t>
  </si>
  <si>
    <t>Kandesartaani</t>
  </si>
  <si>
    <t>CANDEXETIL</t>
  </si>
  <si>
    <t>CANDESARTAN KRKA</t>
  </si>
  <si>
    <t>CANDESARTAN ORION</t>
  </si>
  <si>
    <t>CANDESTAD</t>
  </si>
  <si>
    <t>KANDROZID</t>
  </si>
  <si>
    <t>ATACAND</t>
  </si>
  <si>
    <t>CANDESARTAN ACTAVIS</t>
  </si>
  <si>
    <t>32 mg</t>
  </si>
  <si>
    <t>XEMESTAN</t>
  </si>
  <si>
    <t>Eksemestaani</t>
  </si>
  <si>
    <t>EXEMESTAN PFIZER</t>
  </si>
  <si>
    <t>AROMASIN</t>
  </si>
  <si>
    <t>EXEMESTANE ACCORD</t>
  </si>
  <si>
    <t>ARAVA</t>
  </si>
  <si>
    <t>Leflunomidi</t>
  </si>
  <si>
    <t>Sanofi-Aventis Deutschland GmbH</t>
  </si>
  <si>
    <t>LEFLUNOMIDE MEDAC</t>
  </si>
  <si>
    <t>LEFLUNOMIDE STADA</t>
  </si>
  <si>
    <t>1.57 mg</t>
  </si>
  <si>
    <t>2.62 mg</t>
  </si>
  <si>
    <t>8 mg / 12.5 mg</t>
  </si>
  <si>
    <t>rakeet</t>
  </si>
  <si>
    <t>KESTINE</t>
  </si>
  <si>
    <t>Ebastiini</t>
  </si>
  <si>
    <t>KESTOX</t>
  </si>
  <si>
    <t>OMNIC OCAS</t>
  </si>
  <si>
    <t>PROMICTAN</t>
  </si>
  <si>
    <t>ROPINIROL SANDOZ</t>
  </si>
  <si>
    <t>Ropiniroli</t>
  </si>
  <si>
    <t>REQUIP DEPOT</t>
  </si>
  <si>
    <t>ROPINOSTAD</t>
  </si>
  <si>
    <t>ROPINIROL KRKA</t>
  </si>
  <si>
    <t>ROPINIROL ORION</t>
  </si>
  <si>
    <t>GALANTAMIN MYLAN</t>
  </si>
  <si>
    <t>Galantamiini</t>
  </si>
  <si>
    <t>GALANTAMIN ORION</t>
  </si>
  <si>
    <t>GALANTAMIN STADA</t>
  </si>
  <si>
    <t>REMINYL</t>
  </si>
  <si>
    <t>GALANTAMINE ACTAVIS</t>
  </si>
  <si>
    <t>GALANTAMIN KRKA</t>
  </si>
  <si>
    <t>24 mg</t>
  </si>
  <si>
    <t>XALCOM</t>
  </si>
  <si>
    <t>50 mikrog/ml+ 5 mg/ml</t>
  </si>
  <si>
    <t>LATIOTIM</t>
  </si>
  <si>
    <t>50 mikrog/ml + 5 mg/ml</t>
  </si>
  <si>
    <t>OFTASTAD COMP</t>
  </si>
  <si>
    <t>MAXALT</t>
  </si>
  <si>
    <t>RIZATRIPTAN STADA</t>
  </si>
  <si>
    <t>32 mg / 12.5 mg</t>
  </si>
  <si>
    <t>32 mg / 25 mg</t>
  </si>
  <si>
    <t>125 mg / 31.25 mg / 200 mg</t>
  </si>
  <si>
    <t>200 mg / 50 mg / 200 mg</t>
  </si>
  <si>
    <t>75 mg / 18.75 mg / 200 mg</t>
  </si>
  <si>
    <t>ETALPHA</t>
  </si>
  <si>
    <t>0.25 mikrog</t>
  </si>
  <si>
    <t>Alfakalsidoli</t>
  </si>
  <si>
    <t>ALFACALCIDOL ORIFARM</t>
  </si>
  <si>
    <t>0.5 mikrog</t>
  </si>
  <si>
    <t>1 mikrog</t>
  </si>
  <si>
    <t>ALPRAZOLAM KRKA</t>
  </si>
  <si>
    <t>XANOR DEPOT</t>
  </si>
  <si>
    <t>SEROQUEL PROLONG</t>
  </si>
  <si>
    <t>QUETIAPIN RATIOPHARM</t>
  </si>
  <si>
    <t>QUETIAPIN SANDOZ</t>
  </si>
  <si>
    <t>PULMICORT</t>
  </si>
  <si>
    <t>sumutinsuspensio</t>
  </si>
  <si>
    <t>20 x 2 ml</t>
  </si>
  <si>
    <t>Budesonidi</t>
  </si>
  <si>
    <t>BUDESONIDE TEVA</t>
  </si>
  <si>
    <t>RABEPRAZOL KRKA</t>
  </si>
  <si>
    <t>Rabepratsoli</t>
  </si>
  <si>
    <t>PARIET</t>
  </si>
  <si>
    <t>Eisai AB</t>
  </si>
  <si>
    <t>OMESTAD</t>
  </si>
  <si>
    <t>OMEPRAZOL RATIOPHARM</t>
  </si>
  <si>
    <t>OMEPRAZOL ACTAVIS</t>
  </si>
  <si>
    <t>ZIPRASIDON PFIZER</t>
  </si>
  <si>
    <t>Tsiprasidoni</t>
  </si>
  <si>
    <t>ZIPRASIDON KRKA</t>
  </si>
  <si>
    <t>ZELDOX</t>
  </si>
  <si>
    <t>TOLTERODIN MYLAN</t>
  </si>
  <si>
    <t>Tolterodiini</t>
  </si>
  <si>
    <t>DETRUSITOL SR</t>
  </si>
  <si>
    <t>TOLTERODIN ACTAVIS</t>
  </si>
  <si>
    <t>TOLTERODINE SANDOZ</t>
  </si>
  <si>
    <t>TOLTERODIN PFIZER</t>
  </si>
  <si>
    <t>TOLTERODIN RATIOPHARM</t>
  </si>
  <si>
    <t>AVODART</t>
  </si>
  <si>
    <t>Dutasteridi</t>
  </si>
  <si>
    <t>DUTESTER</t>
  </si>
  <si>
    <t>Billev Pharma</t>
  </si>
  <si>
    <t>CELECOXIB ORION</t>
  </si>
  <si>
    <t>Selekoksibi</t>
  </si>
  <si>
    <t>CELEBRA</t>
  </si>
  <si>
    <t>CELECOXIB SANDOZ</t>
  </si>
  <si>
    <t>CELECOXIB STADA</t>
  </si>
  <si>
    <t>CELECOXIB KRKA</t>
  </si>
  <si>
    <t>CELECOXIB PFIZER</t>
  </si>
  <si>
    <t>RENVELA</t>
  </si>
  <si>
    <t>Sevelameeri</t>
  </si>
  <si>
    <t>Genzyme Europe B.V.</t>
  </si>
  <si>
    <t>SEVELAMER AVANSOR</t>
  </si>
  <si>
    <t>XELODA</t>
  </si>
  <si>
    <t>Kapesitabiini</t>
  </si>
  <si>
    <t>CAPECITABINE TEVA</t>
  </si>
  <si>
    <t>CAPECITABINE ORION</t>
  </si>
  <si>
    <t>CAPECITABINE ACCORD</t>
  </si>
  <si>
    <t>CAPECITABIN ACTAVIS</t>
  </si>
  <si>
    <t>LUMIGAN</t>
  </si>
  <si>
    <t>0.3 mg/ml</t>
  </si>
  <si>
    <t>Bimatoprosti</t>
  </si>
  <si>
    <t>Allergan Pharmaceuticals Ireland</t>
  </si>
  <si>
    <t>BIMATOPROST STADA</t>
  </si>
  <si>
    <t>BIMATOPROST SANDOZ</t>
  </si>
  <si>
    <t>3 x 3 ml</t>
  </si>
  <si>
    <t>ORISANTIN</t>
  </si>
  <si>
    <t>200 mg / 25 mg</t>
  </si>
  <si>
    <t>Yhdistelmävalmisteet</t>
  </si>
  <si>
    <t>MOMETASONE CIPLA</t>
  </si>
  <si>
    <t>140 annosta</t>
  </si>
  <si>
    <t>CIPLA (EU) Limited</t>
  </si>
  <si>
    <t>MOMETASONE ORION</t>
  </si>
  <si>
    <t>MOMETASONE ACTAVIS</t>
  </si>
  <si>
    <t>NASONEX</t>
  </si>
  <si>
    <t>3 x 140 annosta</t>
  </si>
  <si>
    <t>TETRALYSAL</t>
  </si>
  <si>
    <t>Lymesykliini</t>
  </si>
  <si>
    <t>LYMECYCLINE ACTAVIS</t>
  </si>
  <si>
    <t>ZYVOXID</t>
  </si>
  <si>
    <t>Linetsolidi</t>
  </si>
  <si>
    <t>LINEZOLID SANDOZ</t>
  </si>
  <si>
    <t>LINEZOLID ACCORD</t>
  </si>
  <si>
    <t>ZOLIC</t>
  </si>
  <si>
    <t>LINEZOLID KRKA</t>
  </si>
  <si>
    <t>LINEZOLID PFIZER</t>
  </si>
  <si>
    <t>OVIXAN</t>
  </si>
  <si>
    <t>Galenica AB</t>
  </si>
  <si>
    <t>VORICONAZOLE SANDOZ</t>
  </si>
  <si>
    <t>Vorikonatsoli</t>
  </si>
  <si>
    <t>VORICONAZOLE PFIZER</t>
  </si>
  <si>
    <t>VFEND</t>
  </si>
  <si>
    <t>VORICONAZOLE ORION</t>
  </si>
  <si>
    <t>VORICONAZOLE ACCORD</t>
  </si>
  <si>
    <t>AVELOX</t>
  </si>
  <si>
    <t>Moksifloksasiini</t>
  </si>
  <si>
    <t>MOXIFLOXACIN STADA</t>
  </si>
  <si>
    <t>MOXIFLOXACIN KRKA</t>
  </si>
  <si>
    <t>MOXIFLOXACIN ORION</t>
  </si>
  <si>
    <t>175 mg / 43.75 mg / 200 mg</t>
  </si>
  <si>
    <t>ENALAPRIL/LERCANIDIPINE KRKA</t>
  </si>
  <si>
    <t>10 mg / 10 mg</t>
  </si>
  <si>
    <t>Enalapriili ja lerkanidipiini</t>
  </si>
  <si>
    <t>20 mg / 10 mg</t>
  </si>
  <si>
    <t>ELETRIPTAN ALTERNOVA</t>
  </si>
  <si>
    <t>Eletriptaani</t>
  </si>
  <si>
    <t>RELERT</t>
  </si>
  <si>
    <t>TETMODIS</t>
  </si>
  <si>
    <t>Tetrabenatsiini</t>
  </si>
  <si>
    <t>AOP Orphan Pharmaceuticals AG</t>
  </si>
  <si>
    <t>PREDNISOLON ALTERNOVA</t>
  </si>
  <si>
    <t>Prednisoloni</t>
  </si>
  <si>
    <t>PREDNISOLON</t>
  </si>
  <si>
    <t>MIGARD</t>
  </si>
  <si>
    <t>Frovatriptaani</t>
  </si>
  <si>
    <t>FROVATRIPTAN SANDOZ</t>
  </si>
  <si>
    <t>FROVAPTAN</t>
  </si>
  <si>
    <t>TRAVOPROST STADA</t>
  </si>
  <si>
    <t>40 mikrog/ml</t>
  </si>
  <si>
    <t>Travoprosti</t>
  </si>
  <si>
    <t>BRINZOLAMIDE RATIOPHARM</t>
  </si>
  <si>
    <t>silmätipat, suspensio</t>
  </si>
  <si>
    <t>Brintsolamidi</t>
  </si>
  <si>
    <t>BRINZOLAMIDE SANDOZ</t>
  </si>
  <si>
    <t>AZOPT</t>
  </si>
  <si>
    <t>Alcon Laboratories (UK) Ltd.</t>
  </si>
  <si>
    <t>OXYCODONE ORION</t>
  </si>
  <si>
    <t>Oksikodoni</t>
  </si>
  <si>
    <t>OXYCONTIN</t>
  </si>
  <si>
    <t>Mundipharma Oy</t>
  </si>
  <si>
    <t>OXYCODONE RATIOPHARM</t>
  </si>
  <si>
    <t>OXYCODON HCL ACCORD</t>
  </si>
  <si>
    <t>OXYNORM</t>
  </si>
  <si>
    <t>OXYRATIO</t>
  </si>
  <si>
    <t>DEPOLAN</t>
  </si>
  <si>
    <t>Morfiini</t>
  </si>
  <si>
    <t>CONCERTA</t>
  </si>
  <si>
    <t>18 mg</t>
  </si>
  <si>
    <t>Metyylifenidaatti</t>
  </si>
  <si>
    <t>METHYLPHENIDATE SANDOZ</t>
  </si>
  <si>
    <t>METHYLPHENIDATE MYLAN</t>
  </si>
  <si>
    <t>36 mg</t>
  </si>
  <si>
    <t>54 mg</t>
  </si>
  <si>
    <t>METADON ABCUR</t>
  </si>
  <si>
    <t>Metadoni</t>
  </si>
  <si>
    <t>Abcur AB</t>
  </si>
  <si>
    <t>DOLMED</t>
  </si>
  <si>
    <t>RASAGILINE MYLAN</t>
  </si>
  <si>
    <t>Rasagiliini</t>
  </si>
  <si>
    <t>RASAGILIN KRKA</t>
  </si>
  <si>
    <t>RASAGILINE SANDOZ</t>
  </si>
  <si>
    <t>RASABON</t>
  </si>
  <si>
    <t>RASAGILINE ACCORD</t>
  </si>
  <si>
    <t>RASAGILIN STADA</t>
  </si>
  <si>
    <t>NITROGLYCERIN ORION</t>
  </si>
  <si>
    <t>resoribletti</t>
  </si>
  <si>
    <t>Glyseryylitrinitraatti</t>
  </si>
  <si>
    <t>YENTREVE</t>
  </si>
  <si>
    <t>Eli Lilly Nederland B.V.</t>
  </si>
  <si>
    <t>LOXENTIA</t>
  </si>
  <si>
    <t>CINACALCET MYLAN</t>
  </si>
  <si>
    <t>Sinakalseetti</t>
  </si>
  <si>
    <t>MIMPARA</t>
  </si>
  <si>
    <t>Amgen Europe BV</t>
  </si>
  <si>
    <t>CINACALCET SANDOZ</t>
  </si>
  <si>
    <t>SINAFEX</t>
  </si>
  <si>
    <t>CINACALCET RATIOPHARM</t>
  </si>
  <si>
    <t>CINACALCET ACCORD</t>
  </si>
  <si>
    <t>90 mg</t>
  </si>
  <si>
    <t>NITRO</t>
  </si>
  <si>
    <t>10 mg / 24 tuntia</t>
  </si>
  <si>
    <t>depotlaastari</t>
  </si>
  <si>
    <t>TRANSIDERM-NITRO</t>
  </si>
  <si>
    <t>5 mg / 24 tuntia</t>
  </si>
  <si>
    <t>FENTANYL SANDOZ</t>
  </si>
  <si>
    <t>100 mikrog/tunti</t>
  </si>
  <si>
    <t>Fentanyyli</t>
  </si>
  <si>
    <t>DUROGESIC</t>
  </si>
  <si>
    <t>MATRIFEN</t>
  </si>
  <si>
    <t>FENTANYL RATIOPHARM</t>
  </si>
  <si>
    <t>FENTANYL STADA</t>
  </si>
  <si>
    <t>12 mikrog/tunti</t>
  </si>
  <si>
    <t>25 mikrog/tunti</t>
  </si>
  <si>
    <t>50 mikrog/tunti</t>
  </si>
  <si>
    <t>75 mikrog/tunti</t>
  </si>
  <si>
    <t>*</t>
  </si>
  <si>
    <t>-</t>
  </si>
  <si>
    <t xml:space="preserve">A02BA02 </t>
  </si>
  <si>
    <t xml:space="preserve">A02BC01 </t>
  </si>
  <si>
    <t xml:space="preserve">A02BC02 </t>
  </si>
  <si>
    <t xml:space="preserve">A02BC03 </t>
  </si>
  <si>
    <t xml:space="preserve">A02BC04 </t>
  </si>
  <si>
    <t xml:space="preserve">A02BC05 </t>
  </si>
  <si>
    <t xml:space="preserve">A04AA01 </t>
  </si>
  <si>
    <t xml:space="preserve">A04AA02 </t>
  </si>
  <si>
    <t xml:space="preserve">A06AD11 </t>
  </si>
  <si>
    <t xml:space="preserve">A07EC02 </t>
  </si>
  <si>
    <t xml:space="preserve">A10BA02 </t>
  </si>
  <si>
    <t xml:space="preserve">A10BB12 </t>
  </si>
  <si>
    <t xml:space="preserve">A10BG03 </t>
  </si>
  <si>
    <t xml:space="preserve">A10BX02 </t>
  </si>
  <si>
    <t xml:space="preserve">A11CC03 </t>
  </si>
  <si>
    <t xml:space="preserve">A12AX </t>
  </si>
  <si>
    <t xml:space="preserve">B01AC04 </t>
  </si>
  <si>
    <t xml:space="preserve">B01AC30 </t>
  </si>
  <si>
    <t xml:space="preserve">C01DA02 </t>
  </si>
  <si>
    <t xml:space="preserve">C01DA14 </t>
  </si>
  <si>
    <t xml:space="preserve">C02AC05 </t>
  </si>
  <si>
    <t xml:space="preserve">C03BA11 </t>
  </si>
  <si>
    <t xml:space="preserve">C03CA01 </t>
  </si>
  <si>
    <t xml:space="preserve">C03DA01 </t>
  </si>
  <si>
    <t xml:space="preserve">C03EA01 </t>
  </si>
  <si>
    <t xml:space="preserve">C07AA03 </t>
  </si>
  <si>
    <t xml:space="preserve">C07AA05 </t>
  </si>
  <si>
    <t xml:space="preserve">C07AB02 </t>
  </si>
  <si>
    <t xml:space="preserve">C07AB03 </t>
  </si>
  <si>
    <t xml:space="preserve">C07AB07 </t>
  </si>
  <si>
    <t xml:space="preserve">C07AB08 </t>
  </si>
  <si>
    <t xml:space="preserve">C07AB12 </t>
  </si>
  <si>
    <t xml:space="preserve">C07AG02 </t>
  </si>
  <si>
    <t xml:space="preserve">C07BB07 </t>
  </si>
  <si>
    <t xml:space="preserve">C08CA01 </t>
  </si>
  <si>
    <t xml:space="preserve">C08CA02 </t>
  </si>
  <si>
    <t xml:space="preserve">C08CA05 </t>
  </si>
  <si>
    <t xml:space="preserve">C08CA13 </t>
  </si>
  <si>
    <t xml:space="preserve">C09AA02 </t>
  </si>
  <si>
    <t xml:space="preserve">C09AA03 </t>
  </si>
  <si>
    <t xml:space="preserve">C09AA04 </t>
  </si>
  <si>
    <t xml:space="preserve">C09AA05 </t>
  </si>
  <si>
    <t xml:space="preserve">C09BA02 </t>
  </si>
  <si>
    <t xml:space="preserve">C09BA03 </t>
  </si>
  <si>
    <t xml:space="preserve">C09BA04 </t>
  </si>
  <si>
    <t xml:space="preserve">C09BB02 </t>
  </si>
  <si>
    <t xml:space="preserve">C09CA01 </t>
  </si>
  <si>
    <t xml:space="preserve">C09CA03 </t>
  </si>
  <si>
    <t xml:space="preserve">C09CA06 </t>
  </si>
  <si>
    <t xml:space="preserve">C09CA07 </t>
  </si>
  <si>
    <t xml:space="preserve">C09DA01 </t>
  </si>
  <si>
    <t xml:space="preserve">C09DA03 </t>
  </si>
  <si>
    <t xml:space="preserve">C09DA06 </t>
  </si>
  <si>
    <t xml:space="preserve">C09DA07 </t>
  </si>
  <si>
    <t xml:space="preserve">C10AA01 </t>
  </si>
  <si>
    <t xml:space="preserve">C10AA02 </t>
  </si>
  <si>
    <t xml:space="preserve">C10AA03 </t>
  </si>
  <si>
    <t xml:space="preserve">C10AA04 </t>
  </si>
  <si>
    <t xml:space="preserve">C10AA05 </t>
  </si>
  <si>
    <t xml:space="preserve">C10AA07 </t>
  </si>
  <si>
    <t xml:space="preserve">D01AE15 </t>
  </si>
  <si>
    <t xml:space="preserve">D01AE16 </t>
  </si>
  <si>
    <t xml:space="preserve">D01BA02 </t>
  </si>
  <si>
    <t xml:space="preserve">D06BB03 </t>
  </si>
  <si>
    <t xml:space="preserve">D06BB04 </t>
  </si>
  <si>
    <t xml:space="preserve">D07AA02 </t>
  </si>
  <si>
    <t xml:space="preserve">D07AB02 </t>
  </si>
  <si>
    <t xml:space="preserve">D07AC01 </t>
  </si>
  <si>
    <t xml:space="preserve">D07AC13 </t>
  </si>
  <si>
    <t xml:space="preserve">D10BA01 </t>
  </si>
  <si>
    <t xml:space="preserve">G03CA03 </t>
  </si>
  <si>
    <t xml:space="preserve">G03CX01 </t>
  </si>
  <si>
    <t xml:space="preserve">G03FA01 </t>
  </si>
  <si>
    <t xml:space="preserve">G03HB01 </t>
  </si>
  <si>
    <t xml:space="preserve">G04BD07 </t>
  </si>
  <si>
    <t xml:space="preserve">G04BD09 </t>
  </si>
  <si>
    <t xml:space="preserve">G04BE03 </t>
  </si>
  <si>
    <t xml:space="preserve">G04CA01 </t>
  </si>
  <si>
    <t xml:space="preserve">G04CA02 </t>
  </si>
  <si>
    <t xml:space="preserve">G04CB01 </t>
  </si>
  <si>
    <t xml:space="preserve">G04CB02 </t>
  </si>
  <si>
    <t xml:space="preserve">H02AB02 </t>
  </si>
  <si>
    <t xml:space="preserve">H02AB04 </t>
  </si>
  <si>
    <t xml:space="preserve">H02AB06 </t>
  </si>
  <si>
    <t xml:space="preserve">H02AB09 </t>
  </si>
  <si>
    <t xml:space="preserve">H05BX01 </t>
  </si>
  <si>
    <t xml:space="preserve">J01AA02 </t>
  </si>
  <si>
    <t xml:space="preserve">J01AA04 </t>
  </si>
  <si>
    <t xml:space="preserve">J01AA07 </t>
  </si>
  <si>
    <t xml:space="preserve">J01CA04 </t>
  </si>
  <si>
    <t xml:space="preserve">J01CA08 </t>
  </si>
  <si>
    <t xml:space="preserve">J01CE02 </t>
  </si>
  <si>
    <t xml:space="preserve">J01CR02 </t>
  </si>
  <si>
    <t xml:space="preserve">J01DB01 </t>
  </si>
  <si>
    <t xml:space="preserve">J01EA01 </t>
  </si>
  <si>
    <t xml:space="preserve">J01FA06 </t>
  </si>
  <si>
    <t xml:space="preserve">J01FA09 </t>
  </si>
  <si>
    <t xml:space="preserve">J01FA10 </t>
  </si>
  <si>
    <t xml:space="preserve">J01FF01 </t>
  </si>
  <si>
    <t xml:space="preserve">J01MA02 </t>
  </si>
  <si>
    <t xml:space="preserve">J01MA12 </t>
  </si>
  <si>
    <t xml:space="preserve">J01MA14 </t>
  </si>
  <si>
    <t xml:space="preserve">J01XX08 </t>
  </si>
  <si>
    <t xml:space="preserve">J02AC01 </t>
  </si>
  <si>
    <t xml:space="preserve">J02AC03 </t>
  </si>
  <si>
    <t xml:space="preserve">J05AB01 </t>
  </si>
  <si>
    <t xml:space="preserve">J05AB11 </t>
  </si>
  <si>
    <t xml:space="preserve">L01AX03 </t>
  </si>
  <si>
    <t xml:space="preserve">L01BC06 </t>
  </si>
  <si>
    <t xml:space="preserve">L01XX05 </t>
  </si>
  <si>
    <t xml:space="preserve">L02BA01 </t>
  </si>
  <si>
    <t xml:space="preserve">L02BB03 </t>
  </si>
  <si>
    <t xml:space="preserve">L02BG03 </t>
  </si>
  <si>
    <t xml:space="preserve">L02BG04 </t>
  </si>
  <si>
    <t xml:space="preserve">L02BG06 </t>
  </si>
  <si>
    <t xml:space="preserve">L04AA06 </t>
  </si>
  <si>
    <t xml:space="preserve">L04AA13 </t>
  </si>
  <si>
    <t xml:space="preserve">L04AX01 </t>
  </si>
  <si>
    <t xml:space="preserve">L04AX03 </t>
  </si>
  <si>
    <t xml:space="preserve">M01AB05 </t>
  </si>
  <si>
    <t xml:space="preserve">M01AC06 </t>
  </si>
  <si>
    <t xml:space="preserve">M01AE01 </t>
  </si>
  <si>
    <t xml:space="preserve">M01AE02 </t>
  </si>
  <si>
    <t xml:space="preserve">M01AE03 </t>
  </si>
  <si>
    <t xml:space="preserve">M01AH01 </t>
  </si>
  <si>
    <t xml:space="preserve">M02AA07 </t>
  </si>
  <si>
    <t xml:space="preserve">M03BC51 </t>
  </si>
  <si>
    <t xml:space="preserve">M03BX01 </t>
  </si>
  <si>
    <t xml:space="preserve">M03BX02 </t>
  </si>
  <si>
    <t xml:space="preserve">M04AA01 </t>
  </si>
  <si>
    <t xml:space="preserve">M05BA04 </t>
  </si>
  <si>
    <t xml:space="preserve">M05BA06 </t>
  </si>
  <si>
    <t xml:space="preserve">M05BA07 </t>
  </si>
  <si>
    <t xml:space="preserve">N02AA01 </t>
  </si>
  <si>
    <t xml:space="preserve">N02AA05 </t>
  </si>
  <si>
    <t xml:space="preserve">N02AA59 </t>
  </si>
  <si>
    <t xml:space="preserve">N02AB03 </t>
  </si>
  <si>
    <t xml:space="preserve">N02AX02 </t>
  </si>
  <si>
    <t xml:space="preserve">N02BE01 </t>
  </si>
  <si>
    <t xml:space="preserve">N02CC01 </t>
  </si>
  <si>
    <t xml:space="preserve">N02CC03 </t>
  </si>
  <si>
    <t xml:space="preserve">N02CC04 </t>
  </si>
  <si>
    <t xml:space="preserve">N02CC05 </t>
  </si>
  <si>
    <t xml:space="preserve">N02CC06 </t>
  </si>
  <si>
    <t xml:space="preserve">N02CC07 </t>
  </si>
  <si>
    <t xml:space="preserve">N04BA02 </t>
  </si>
  <si>
    <t xml:space="preserve">N04BA03 </t>
  </si>
  <si>
    <t xml:space="preserve">N04BC04 </t>
  </si>
  <si>
    <t xml:space="preserve">N04BC05 </t>
  </si>
  <si>
    <t xml:space="preserve">N04BD01 </t>
  </si>
  <si>
    <t xml:space="preserve">N04BD02 </t>
  </si>
  <si>
    <t xml:space="preserve">N05AE04 </t>
  </si>
  <si>
    <t xml:space="preserve">N05AH02 </t>
  </si>
  <si>
    <t xml:space="preserve">N05AH03 </t>
  </si>
  <si>
    <t xml:space="preserve">N05AH04 </t>
  </si>
  <si>
    <t xml:space="preserve">N05AX08 </t>
  </si>
  <si>
    <t xml:space="preserve">N05AX12 </t>
  </si>
  <si>
    <t xml:space="preserve">N05BA01 </t>
  </si>
  <si>
    <t xml:space="preserve">N05BA04 </t>
  </si>
  <si>
    <t xml:space="preserve">N05BA06 </t>
  </si>
  <si>
    <t xml:space="preserve">N05BA12 </t>
  </si>
  <si>
    <t xml:space="preserve">N05BE01 </t>
  </si>
  <si>
    <t xml:space="preserve">N05CF01 </t>
  </si>
  <si>
    <t xml:space="preserve">N05CF02 </t>
  </si>
  <si>
    <t xml:space="preserve">N06AB03 </t>
  </si>
  <si>
    <t xml:space="preserve">N06AB04 </t>
  </si>
  <si>
    <t xml:space="preserve">N06AB05 </t>
  </si>
  <si>
    <t xml:space="preserve">N06AB06 </t>
  </si>
  <si>
    <t xml:space="preserve">N06AB10 </t>
  </si>
  <si>
    <t xml:space="preserve">N06AG02 </t>
  </si>
  <si>
    <t xml:space="preserve">N06AX11 </t>
  </si>
  <si>
    <t xml:space="preserve">N06AX16 </t>
  </si>
  <si>
    <t xml:space="preserve">N06AX21 </t>
  </si>
  <si>
    <t xml:space="preserve">N06BA04 </t>
  </si>
  <si>
    <t xml:space="preserve">N06DA02 </t>
  </si>
  <si>
    <t xml:space="preserve">N06DA03 </t>
  </si>
  <si>
    <t xml:space="preserve">N06DA04 </t>
  </si>
  <si>
    <t xml:space="preserve">N06DX01 </t>
  </si>
  <si>
    <t xml:space="preserve">N07BB04 </t>
  </si>
  <si>
    <t xml:space="preserve">N07BC02 </t>
  </si>
  <si>
    <t xml:space="preserve">N07CA01 </t>
  </si>
  <si>
    <t xml:space="preserve">N07XX06 </t>
  </si>
  <si>
    <t xml:space="preserve">P01AB01 </t>
  </si>
  <si>
    <t xml:space="preserve">R01AC01 </t>
  </si>
  <si>
    <t xml:space="preserve">R01AD08 </t>
  </si>
  <si>
    <t xml:space="preserve">R01AD09 </t>
  </si>
  <si>
    <t xml:space="preserve">R03AL02 </t>
  </si>
  <si>
    <t xml:space="preserve">R03BA02 </t>
  </si>
  <si>
    <t xml:space="preserve">R03BB01 </t>
  </si>
  <si>
    <t xml:space="preserve">R03DC03 </t>
  </si>
  <si>
    <t xml:space="preserve">R06AE07 </t>
  </si>
  <si>
    <t xml:space="preserve">R06AE09 </t>
  </si>
  <si>
    <t xml:space="preserve">R06AX13 </t>
  </si>
  <si>
    <t xml:space="preserve">R06AX22 </t>
  </si>
  <si>
    <t xml:space="preserve">R06AX26 </t>
  </si>
  <si>
    <t xml:space="preserve">R06AX27 </t>
  </si>
  <si>
    <t xml:space="preserve">S01EC03 </t>
  </si>
  <si>
    <t xml:space="preserve">S01EC04 </t>
  </si>
  <si>
    <t xml:space="preserve">S01ED01 </t>
  </si>
  <si>
    <t xml:space="preserve">S01ED51 </t>
  </si>
  <si>
    <t xml:space="preserve">S01EE01 </t>
  </si>
  <si>
    <t xml:space="preserve">S01EE03 </t>
  </si>
  <si>
    <t xml:space="preserve">S01EE04 </t>
  </si>
  <si>
    <t xml:space="preserve">S01GX01 </t>
  </si>
  <si>
    <t xml:space="preserve">V03AE02 </t>
  </si>
  <si>
    <t>ATC</t>
  </si>
  <si>
    <t>BILAGA TILL LÄKEMEDELSPRISNÄMNDENS BESLUT DNR 511/5/2016, GIVEN 22.9.2016</t>
  </si>
  <si>
    <t>FÖRTECKNING ÖVER REFERENSPRISGRUPPER, REFERENSPRIS OCH LÄKEMEDELSPREPARAT I REFERENSPRISGRUPPERNA 1.10.-31.12.2016</t>
  </si>
  <si>
    <t>Referens-prisgrupp</t>
  </si>
  <si>
    <t>Preparatnamn</t>
  </si>
  <si>
    <t>Styrka</t>
  </si>
  <si>
    <t>Läkemedelsform</t>
  </si>
  <si>
    <t>Förpacknings- storlek</t>
  </si>
  <si>
    <t>Aktiv substans</t>
  </si>
  <si>
    <t>Innehavare av för-säljningstillstånd</t>
  </si>
  <si>
    <t>Anmält partipris, €</t>
  </si>
  <si>
    <t>Minut-försäljnings-pris, €</t>
  </si>
  <si>
    <t>Referenspris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</si>
</sst>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000000000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65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0" fontId="1" fillId="0" borderId="0" xfId="0" applyFont="1" applyAlignment="1"/>
    <xf numFmtId="165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2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9" fontId="2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left"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3878"/>
  <sheetViews>
    <sheetView tabSelected="1" view="pageLayout" zoomScaleNormal="100" workbookViewId="0"/>
  </sheetViews>
  <sheetFormatPr defaultRowHeight="11.25" outlineLevelRow="3" x14ac:dyDescent="0.2"/>
  <cols>
    <col min="1" max="1" width="7.85546875" style="2" customWidth="1"/>
    <col min="2" max="2" width="9.5703125" style="4" customWidth="1"/>
    <col min="3" max="3" width="7" style="5" customWidth="1"/>
    <col min="4" max="4" width="34.42578125" style="12" customWidth="1"/>
    <col min="5" max="5" width="7.5703125" style="14" customWidth="1"/>
    <col min="6" max="6" width="13.28515625" style="12" customWidth="1"/>
    <col min="7" max="7" width="8" style="15" customWidth="1"/>
    <col min="8" max="8" width="15.28515625" style="12" customWidth="1"/>
    <col min="9" max="9" width="15.85546875" style="12" customWidth="1"/>
    <col min="10" max="10" width="1.28515625" style="2" customWidth="1"/>
    <col min="11" max="11" width="7.5703125" style="16" customWidth="1"/>
    <col min="12" max="12" width="9.5703125" style="16" customWidth="1"/>
    <col min="13" max="13" width="8" style="16" customWidth="1"/>
    <col min="14" max="16384" width="9.140625" style="2"/>
  </cols>
  <sheetData>
    <row r="1" spans="1:13" ht="12.75" x14ac:dyDescent="0.2">
      <c r="A1" s="7" t="s">
        <v>1608</v>
      </c>
      <c r="B1" s="8"/>
      <c r="C1" s="9"/>
      <c r="D1" s="10"/>
      <c r="E1" s="11"/>
      <c r="F1" s="10"/>
      <c r="G1" s="17"/>
    </row>
    <row r="2" spans="1:13" ht="12.75" x14ac:dyDescent="0.2">
      <c r="A2" s="1"/>
      <c r="K2" s="13"/>
    </row>
    <row r="3" spans="1:13" ht="12.75" x14ac:dyDescent="0.2">
      <c r="A3" s="7" t="s">
        <v>1609</v>
      </c>
      <c r="B3" s="8"/>
      <c r="C3" s="9"/>
      <c r="D3" s="10"/>
      <c r="E3" s="11"/>
      <c r="F3" s="10"/>
      <c r="G3" s="11"/>
      <c r="H3" s="10"/>
    </row>
    <row r="4" spans="1:13" ht="27" x14ac:dyDescent="0.2">
      <c r="A4" s="19" t="s">
        <v>1607</v>
      </c>
      <c r="B4" s="19" t="s">
        <v>1610</v>
      </c>
      <c r="C4" s="20" t="s">
        <v>0</v>
      </c>
      <c r="D4" s="19" t="s">
        <v>1611</v>
      </c>
      <c r="E4" s="19" t="s">
        <v>1612</v>
      </c>
      <c r="F4" s="19" t="s">
        <v>1613</v>
      </c>
      <c r="G4" s="20" t="s">
        <v>1614</v>
      </c>
      <c r="H4" s="19" t="s">
        <v>1615</v>
      </c>
      <c r="I4" s="20" t="s">
        <v>1616</v>
      </c>
      <c r="J4" s="21" t="s">
        <v>1400</v>
      </c>
      <c r="K4" s="22" t="s">
        <v>1617</v>
      </c>
      <c r="L4" s="22" t="s">
        <v>1618</v>
      </c>
      <c r="M4" s="22" t="s">
        <v>1619</v>
      </c>
    </row>
    <row r="5" spans="1:13" outlineLevel="2" x14ac:dyDescent="0.2">
      <c r="A5" s="3" t="s">
        <v>1402</v>
      </c>
    </row>
    <row r="6" spans="1:13" ht="33.75" outlineLevel="3" x14ac:dyDescent="0.2">
      <c r="B6" s="4" t="str">
        <f>"0000040060"</f>
        <v>0000040060</v>
      </c>
      <c r="C6" s="5" t="str">
        <f>"533646"</f>
        <v>533646</v>
      </c>
      <c r="D6" s="12" t="s">
        <v>7</v>
      </c>
      <c r="E6" s="14" t="s">
        <v>2</v>
      </c>
      <c r="F6" s="12" t="s">
        <v>3</v>
      </c>
      <c r="G6" s="15">
        <v>60</v>
      </c>
      <c r="H6" s="12" t="s">
        <v>4</v>
      </c>
      <c r="I6" s="12" t="s">
        <v>8</v>
      </c>
      <c r="K6" s="16">
        <v>6.44</v>
      </c>
      <c r="L6" s="16">
        <v>10.27</v>
      </c>
      <c r="M6" s="16">
        <v>9.49</v>
      </c>
    </row>
    <row r="7" spans="1:13" ht="33.75" outlineLevel="3" x14ac:dyDescent="0.2">
      <c r="B7" s="4" t="str">
        <f>"0000040060"</f>
        <v>0000040060</v>
      </c>
      <c r="C7" s="5" t="str">
        <f>"445882"</f>
        <v>445882</v>
      </c>
      <c r="D7" s="12" t="s">
        <v>1</v>
      </c>
      <c r="E7" s="14" t="s">
        <v>2</v>
      </c>
      <c r="F7" s="12" t="s">
        <v>3</v>
      </c>
      <c r="G7" s="15">
        <v>60</v>
      </c>
      <c r="H7" s="12" t="s">
        <v>4</v>
      </c>
      <c r="I7" s="12" t="s">
        <v>5</v>
      </c>
      <c r="K7" s="16">
        <v>5.5</v>
      </c>
      <c r="L7" s="16">
        <v>8.7799999999999994</v>
      </c>
      <c r="M7" s="16">
        <v>9.49</v>
      </c>
    </row>
    <row r="8" spans="1:13" ht="33.75" outlineLevel="3" x14ac:dyDescent="0.2">
      <c r="B8" s="4" t="str">
        <f>"0000040060"</f>
        <v>0000040060</v>
      </c>
      <c r="C8" s="5" t="str">
        <f>"576413"</f>
        <v>576413</v>
      </c>
      <c r="D8" s="12" t="s">
        <v>10</v>
      </c>
      <c r="E8" s="14" t="s">
        <v>2</v>
      </c>
      <c r="F8" s="12" t="s">
        <v>3</v>
      </c>
      <c r="G8" s="15">
        <v>60</v>
      </c>
      <c r="H8" s="12" t="s">
        <v>4</v>
      </c>
      <c r="I8" s="12" t="s">
        <v>11</v>
      </c>
      <c r="K8" s="16">
        <v>5.01</v>
      </c>
      <c r="L8" s="16">
        <v>7.99</v>
      </c>
      <c r="M8" s="16">
        <v>9.49</v>
      </c>
    </row>
    <row r="9" spans="1:13" outlineLevel="2" x14ac:dyDescent="0.2"/>
    <row r="10" spans="1:13" ht="33.75" outlineLevel="3" x14ac:dyDescent="0.2">
      <c r="B10" s="4" t="str">
        <f>"0000070030"</f>
        <v>0000070030</v>
      </c>
      <c r="C10" s="5" t="str">
        <f>"086181"</f>
        <v>086181</v>
      </c>
      <c r="D10" s="12" t="s">
        <v>7</v>
      </c>
      <c r="E10" s="14" t="s">
        <v>12</v>
      </c>
      <c r="F10" s="12" t="s">
        <v>3</v>
      </c>
      <c r="G10" s="15">
        <v>30</v>
      </c>
      <c r="H10" s="12" t="s">
        <v>4</v>
      </c>
      <c r="I10" s="12" t="s">
        <v>8</v>
      </c>
      <c r="J10" s="2" t="s">
        <v>1400</v>
      </c>
      <c r="K10" s="16">
        <v>5.52</v>
      </c>
      <c r="L10" s="16">
        <v>8.8000000000000007</v>
      </c>
      <c r="M10" s="16">
        <v>10.3</v>
      </c>
    </row>
    <row r="11" spans="1:13" ht="33.75" outlineLevel="3" x14ac:dyDescent="0.2">
      <c r="B11" s="4" t="str">
        <f>"0000070030"</f>
        <v>0000070030</v>
      </c>
      <c r="C11" s="5" t="str">
        <f>"445916"</f>
        <v>445916</v>
      </c>
      <c r="D11" s="12" t="s">
        <v>1</v>
      </c>
      <c r="E11" s="14" t="s">
        <v>12</v>
      </c>
      <c r="F11" s="12" t="s">
        <v>3</v>
      </c>
      <c r="G11" s="15">
        <v>30</v>
      </c>
      <c r="H11" s="12" t="s">
        <v>4</v>
      </c>
      <c r="I11" s="12" t="s">
        <v>5</v>
      </c>
      <c r="K11" s="16">
        <v>5.52</v>
      </c>
      <c r="L11" s="16">
        <v>8.8000000000000007</v>
      </c>
      <c r="M11" s="16">
        <v>10.3</v>
      </c>
    </row>
    <row r="12" spans="1:13" outlineLevel="1" x14ac:dyDescent="0.2">
      <c r="A12" s="3"/>
    </row>
    <row r="13" spans="1:13" outlineLevel="2" x14ac:dyDescent="0.2">
      <c r="A13" s="3" t="s">
        <v>1403</v>
      </c>
    </row>
    <row r="14" spans="1:13" ht="22.5" outlineLevel="3" x14ac:dyDescent="0.2">
      <c r="B14" s="4" t="str">
        <f>"0000110030"</f>
        <v>0000110030</v>
      </c>
      <c r="C14" s="5" t="str">
        <f>"109691"</f>
        <v>109691</v>
      </c>
      <c r="D14" s="12" t="s">
        <v>13</v>
      </c>
      <c r="E14" s="14" t="s">
        <v>14</v>
      </c>
      <c r="F14" s="12" t="s">
        <v>15</v>
      </c>
      <c r="G14" s="15">
        <v>28</v>
      </c>
      <c r="H14" s="12" t="s">
        <v>16</v>
      </c>
      <c r="I14" s="12" t="s">
        <v>17</v>
      </c>
      <c r="K14" s="16">
        <v>23.4</v>
      </c>
      <c r="L14" s="16">
        <v>35.76</v>
      </c>
      <c r="M14" s="16">
        <v>37.26</v>
      </c>
    </row>
    <row r="15" spans="1:13" outlineLevel="2" x14ac:dyDescent="0.2"/>
    <row r="16" spans="1:13" ht="22.5" outlineLevel="3" x14ac:dyDescent="0.2">
      <c r="B16" s="4" t="str">
        <f>"0000110056"</f>
        <v>0000110056</v>
      </c>
      <c r="C16" s="5" t="str">
        <f>"088725"</f>
        <v>088725</v>
      </c>
      <c r="D16" s="12" t="s">
        <v>13</v>
      </c>
      <c r="E16" s="14" t="s">
        <v>14</v>
      </c>
      <c r="F16" s="12" t="s">
        <v>15</v>
      </c>
      <c r="G16" s="15">
        <v>56</v>
      </c>
      <c r="H16" s="12" t="s">
        <v>16</v>
      </c>
      <c r="I16" s="12" t="s">
        <v>17</v>
      </c>
      <c r="K16" s="16">
        <v>46.28</v>
      </c>
      <c r="L16" s="16">
        <v>69.73</v>
      </c>
      <c r="M16" s="16">
        <v>62.06</v>
      </c>
    </row>
    <row r="17" spans="2:13" outlineLevel="3" x14ac:dyDescent="0.2">
      <c r="B17" s="4" t="str">
        <f>"0000110056"</f>
        <v>0000110056</v>
      </c>
      <c r="C17" s="5" t="str">
        <f>"016220"</f>
        <v>016220</v>
      </c>
      <c r="D17" s="12" t="s">
        <v>21</v>
      </c>
      <c r="E17" s="14" t="s">
        <v>14</v>
      </c>
      <c r="F17" s="12" t="s">
        <v>19</v>
      </c>
      <c r="G17" s="15">
        <v>56</v>
      </c>
      <c r="H17" s="12" t="s">
        <v>16</v>
      </c>
      <c r="I17" s="12" t="s">
        <v>22</v>
      </c>
      <c r="K17" s="16">
        <v>39.76</v>
      </c>
      <c r="L17" s="16">
        <v>60.06</v>
      </c>
      <c r="M17" s="16">
        <v>62.06</v>
      </c>
    </row>
    <row r="18" spans="2:13" ht="22.5" outlineLevel="3" x14ac:dyDescent="0.2">
      <c r="B18" s="4" t="str">
        <f>"0000110056"</f>
        <v>0000110056</v>
      </c>
      <c r="C18" s="5" t="str">
        <f>"502574"</f>
        <v>502574</v>
      </c>
      <c r="D18" s="12" t="s">
        <v>18</v>
      </c>
      <c r="E18" s="14" t="s">
        <v>14</v>
      </c>
      <c r="F18" s="12" t="s">
        <v>19</v>
      </c>
      <c r="G18" s="15">
        <v>56</v>
      </c>
      <c r="H18" s="12" t="s">
        <v>16</v>
      </c>
      <c r="I18" s="12" t="s">
        <v>20</v>
      </c>
      <c r="J18" s="2" t="s">
        <v>1400</v>
      </c>
      <c r="K18" s="16">
        <v>35.35</v>
      </c>
      <c r="L18" s="16">
        <v>53.5</v>
      </c>
      <c r="M18" s="16">
        <v>62.06</v>
      </c>
    </row>
    <row r="19" spans="2:13" outlineLevel="2" x14ac:dyDescent="0.2"/>
    <row r="20" spans="2:13" ht="22.5" outlineLevel="3" x14ac:dyDescent="0.2">
      <c r="B20" s="4" t="str">
        <f>"0000110100"</f>
        <v>0000110100</v>
      </c>
      <c r="C20" s="5" t="str">
        <f>"088691"</f>
        <v>088691</v>
      </c>
      <c r="D20" s="12" t="s">
        <v>13</v>
      </c>
      <c r="E20" s="14" t="s">
        <v>14</v>
      </c>
      <c r="F20" s="12" t="s">
        <v>15</v>
      </c>
      <c r="G20" s="15" t="s">
        <v>23</v>
      </c>
      <c r="H20" s="12" t="s">
        <v>16</v>
      </c>
      <c r="I20" s="12" t="s">
        <v>17</v>
      </c>
      <c r="K20" s="16">
        <v>81.7</v>
      </c>
      <c r="L20" s="16">
        <v>118.44</v>
      </c>
      <c r="M20" s="16">
        <v>104.61</v>
      </c>
    </row>
    <row r="21" spans="2:13" outlineLevel="3" x14ac:dyDescent="0.2">
      <c r="B21" s="4" t="str">
        <f>"0000110100"</f>
        <v>0000110100</v>
      </c>
      <c r="C21" s="5" t="str">
        <f>"016428"</f>
        <v>016428</v>
      </c>
      <c r="D21" s="12" t="s">
        <v>21</v>
      </c>
      <c r="E21" s="14" t="s">
        <v>14</v>
      </c>
      <c r="F21" s="12" t="s">
        <v>19</v>
      </c>
      <c r="G21" s="15">
        <v>100</v>
      </c>
      <c r="H21" s="12" t="s">
        <v>16</v>
      </c>
      <c r="I21" s="12" t="s">
        <v>22</v>
      </c>
      <c r="K21" s="16">
        <v>70.19</v>
      </c>
      <c r="L21" s="16">
        <v>102.61</v>
      </c>
      <c r="M21" s="16">
        <v>104.61</v>
      </c>
    </row>
    <row r="22" spans="2:13" ht="22.5" outlineLevel="3" x14ac:dyDescent="0.2">
      <c r="B22" s="4" t="str">
        <f>"0000110100"</f>
        <v>0000110100</v>
      </c>
      <c r="C22" s="5" t="str">
        <f>"580308"</f>
        <v>580308</v>
      </c>
      <c r="D22" s="12" t="s">
        <v>18</v>
      </c>
      <c r="E22" s="14" t="s">
        <v>14</v>
      </c>
      <c r="F22" s="12" t="s">
        <v>19</v>
      </c>
      <c r="G22" s="15">
        <v>100</v>
      </c>
      <c r="H22" s="12" t="s">
        <v>16</v>
      </c>
      <c r="I22" s="12" t="s">
        <v>20</v>
      </c>
      <c r="J22" s="2" t="s">
        <v>1400</v>
      </c>
      <c r="K22" s="16">
        <v>69</v>
      </c>
      <c r="L22" s="16">
        <v>100.97</v>
      </c>
      <c r="M22" s="16">
        <v>104.61</v>
      </c>
    </row>
    <row r="23" spans="2:13" outlineLevel="2" x14ac:dyDescent="0.2"/>
    <row r="24" spans="2:13" ht="22.5" outlineLevel="3" x14ac:dyDescent="0.2">
      <c r="B24" s="4" t="str">
        <f>"0005080100"</f>
        <v>0005080100</v>
      </c>
      <c r="C24" s="5" t="str">
        <f>"024882"</f>
        <v>024882</v>
      </c>
      <c r="D24" s="12" t="s">
        <v>18</v>
      </c>
      <c r="E24" s="14" t="s">
        <v>82</v>
      </c>
      <c r="F24" s="12" t="s">
        <v>19</v>
      </c>
      <c r="G24" s="15">
        <v>100</v>
      </c>
      <c r="H24" s="12" t="s">
        <v>16</v>
      </c>
      <c r="I24" s="12" t="s">
        <v>20</v>
      </c>
      <c r="K24" s="16">
        <v>24.63</v>
      </c>
      <c r="L24" s="16">
        <v>37.590000000000003</v>
      </c>
      <c r="M24" s="16">
        <v>39.090000000000003</v>
      </c>
    </row>
    <row r="25" spans="2:13" outlineLevel="2" x14ac:dyDescent="0.2"/>
    <row r="26" spans="2:13" ht="22.5" outlineLevel="3" x14ac:dyDescent="0.2">
      <c r="B26" s="4" t="str">
        <f>"0005090030"</f>
        <v>0005090030</v>
      </c>
      <c r="C26" s="5" t="str">
        <f>"088736"</f>
        <v>088736</v>
      </c>
      <c r="D26" s="12" t="s">
        <v>13</v>
      </c>
      <c r="E26" s="14" t="s">
        <v>98</v>
      </c>
      <c r="F26" s="12" t="s">
        <v>15</v>
      </c>
      <c r="G26" s="15">
        <v>28</v>
      </c>
      <c r="H26" s="12" t="s">
        <v>16</v>
      </c>
      <c r="I26" s="12" t="s">
        <v>17</v>
      </c>
      <c r="K26" s="16">
        <v>30.07</v>
      </c>
      <c r="L26" s="16">
        <v>45.66</v>
      </c>
      <c r="M26" s="16">
        <v>47.66</v>
      </c>
    </row>
    <row r="27" spans="2:13" outlineLevel="2" x14ac:dyDescent="0.2"/>
    <row r="28" spans="2:13" ht="22.5" outlineLevel="3" x14ac:dyDescent="0.2">
      <c r="B28" s="4" t="str">
        <f>"0005090100"</f>
        <v>0005090100</v>
      </c>
      <c r="C28" s="5" t="str">
        <f>"384184"</f>
        <v>384184</v>
      </c>
      <c r="D28" s="12" t="s">
        <v>13</v>
      </c>
      <c r="E28" s="14" t="s">
        <v>98</v>
      </c>
      <c r="F28" s="12" t="s">
        <v>15</v>
      </c>
      <c r="G28" s="15">
        <v>100</v>
      </c>
      <c r="H28" s="12" t="s">
        <v>16</v>
      </c>
      <c r="I28" s="12" t="s">
        <v>17</v>
      </c>
      <c r="K28" s="16">
        <v>105.45</v>
      </c>
      <c r="L28" s="16">
        <v>150.59</v>
      </c>
      <c r="M28" s="16">
        <v>152.59</v>
      </c>
    </row>
    <row r="29" spans="2:13" ht="22.5" outlineLevel="3" x14ac:dyDescent="0.2">
      <c r="B29" s="4" t="str">
        <f>"0013270030"</f>
        <v>0013270030</v>
      </c>
      <c r="C29" s="5" t="str">
        <f>"538275"</f>
        <v>538275</v>
      </c>
      <c r="D29" s="12" t="s">
        <v>1240</v>
      </c>
      <c r="E29" s="14" t="s">
        <v>82</v>
      </c>
      <c r="F29" s="12" t="s">
        <v>15</v>
      </c>
      <c r="G29" s="15">
        <v>28</v>
      </c>
      <c r="H29" s="12" t="s">
        <v>16</v>
      </c>
      <c r="I29" s="12" t="s">
        <v>5</v>
      </c>
      <c r="K29" s="16">
        <v>14.52</v>
      </c>
      <c r="L29" s="16">
        <v>22.57</v>
      </c>
      <c r="M29" s="16">
        <v>21.82</v>
      </c>
    </row>
    <row r="30" spans="2:13" ht="22.5" outlineLevel="3" x14ac:dyDescent="0.2">
      <c r="B30" s="4" t="str">
        <f>"0013270030"</f>
        <v>0013270030</v>
      </c>
      <c r="C30" s="5" t="str">
        <f>"154175"</f>
        <v>154175</v>
      </c>
      <c r="D30" s="12" t="s">
        <v>1239</v>
      </c>
      <c r="E30" s="14" t="s">
        <v>82</v>
      </c>
      <c r="F30" s="12" t="s">
        <v>15</v>
      </c>
      <c r="G30" s="15">
        <v>28</v>
      </c>
      <c r="H30" s="12" t="s">
        <v>16</v>
      </c>
      <c r="I30" s="12" t="s">
        <v>60</v>
      </c>
      <c r="K30" s="16">
        <v>13</v>
      </c>
      <c r="L30" s="16">
        <v>20.32</v>
      </c>
      <c r="M30" s="16">
        <v>21.82</v>
      </c>
    </row>
    <row r="31" spans="2:13" outlineLevel="2" x14ac:dyDescent="0.2"/>
    <row r="32" spans="2:13" ht="22.5" outlineLevel="3" x14ac:dyDescent="0.2">
      <c r="B32" s="4" t="str">
        <f>"0013270100"</f>
        <v>0013270100</v>
      </c>
      <c r="C32" s="5" t="str">
        <f>"381386"</f>
        <v>381386</v>
      </c>
      <c r="D32" s="12" t="s">
        <v>1240</v>
      </c>
      <c r="E32" s="14" t="s">
        <v>82</v>
      </c>
      <c r="F32" s="12" t="s">
        <v>15</v>
      </c>
      <c r="G32" s="15">
        <v>100</v>
      </c>
      <c r="H32" s="12" t="s">
        <v>16</v>
      </c>
      <c r="I32" s="12" t="s">
        <v>5</v>
      </c>
      <c r="K32" s="16">
        <v>14.52</v>
      </c>
      <c r="L32" s="16">
        <v>22.57</v>
      </c>
      <c r="M32" s="16">
        <v>21.82</v>
      </c>
    </row>
    <row r="33" spans="2:13" ht="22.5" outlineLevel="3" x14ac:dyDescent="0.2">
      <c r="B33" s="4" t="str">
        <f>"0013270100"</f>
        <v>0013270100</v>
      </c>
      <c r="C33" s="5" t="str">
        <f>"117437"</f>
        <v>117437</v>
      </c>
      <c r="D33" s="12" t="s">
        <v>1239</v>
      </c>
      <c r="E33" s="14" t="s">
        <v>82</v>
      </c>
      <c r="F33" s="12" t="s">
        <v>15</v>
      </c>
      <c r="G33" s="15">
        <v>100</v>
      </c>
      <c r="H33" s="12" t="s">
        <v>16</v>
      </c>
      <c r="I33" s="12" t="s">
        <v>60</v>
      </c>
      <c r="K33" s="16">
        <v>13</v>
      </c>
      <c r="L33" s="16">
        <v>20.32</v>
      </c>
      <c r="M33" s="16">
        <v>21.82</v>
      </c>
    </row>
    <row r="34" spans="2:13" outlineLevel="2" x14ac:dyDescent="0.2"/>
    <row r="35" spans="2:13" ht="22.5" outlineLevel="3" x14ac:dyDescent="0.2">
      <c r="B35" s="4" t="str">
        <f>"0013280030"</f>
        <v>0013280030</v>
      </c>
      <c r="C35" s="5" t="str">
        <f>"087047"</f>
        <v>087047</v>
      </c>
      <c r="D35" s="12" t="s">
        <v>1241</v>
      </c>
      <c r="E35" s="14" t="s">
        <v>14</v>
      </c>
      <c r="F35" s="12" t="s">
        <v>15</v>
      </c>
      <c r="G35" s="15">
        <v>28</v>
      </c>
      <c r="H35" s="12" t="s">
        <v>16</v>
      </c>
      <c r="I35" s="12" t="s">
        <v>68</v>
      </c>
      <c r="K35" s="16">
        <v>3.84</v>
      </c>
      <c r="L35" s="16">
        <v>6.13</v>
      </c>
      <c r="M35" s="16">
        <v>5.97</v>
      </c>
    </row>
    <row r="36" spans="2:13" ht="22.5" outlineLevel="3" x14ac:dyDescent="0.2">
      <c r="B36" s="4" t="str">
        <f>"0013280030"</f>
        <v>0013280030</v>
      </c>
      <c r="C36" s="5" t="str">
        <f>"475862"</f>
        <v>475862</v>
      </c>
      <c r="D36" s="12" t="s">
        <v>1240</v>
      </c>
      <c r="E36" s="14" t="s">
        <v>14</v>
      </c>
      <c r="F36" s="12" t="s">
        <v>15</v>
      </c>
      <c r="G36" s="15">
        <v>28</v>
      </c>
      <c r="H36" s="12" t="s">
        <v>16</v>
      </c>
      <c r="I36" s="12" t="s">
        <v>5</v>
      </c>
      <c r="K36" s="16">
        <v>3.84</v>
      </c>
      <c r="L36" s="16">
        <v>6.13</v>
      </c>
      <c r="M36" s="16">
        <v>5.97</v>
      </c>
    </row>
    <row r="37" spans="2:13" ht="22.5" outlineLevel="3" x14ac:dyDescent="0.2">
      <c r="B37" s="4" t="str">
        <f>"0013280030"</f>
        <v>0013280030</v>
      </c>
      <c r="C37" s="5" t="str">
        <f>"384741"</f>
        <v>384741</v>
      </c>
      <c r="D37" s="12" t="s">
        <v>1239</v>
      </c>
      <c r="E37" s="14" t="s">
        <v>14</v>
      </c>
      <c r="F37" s="12" t="s">
        <v>15</v>
      </c>
      <c r="G37" s="15">
        <v>28</v>
      </c>
      <c r="H37" s="12" t="s">
        <v>16</v>
      </c>
      <c r="I37" s="12" t="s">
        <v>60</v>
      </c>
      <c r="K37" s="16">
        <v>2.8</v>
      </c>
      <c r="L37" s="16">
        <v>4.47</v>
      </c>
      <c r="M37" s="16">
        <v>5.97</v>
      </c>
    </row>
    <row r="38" spans="2:13" outlineLevel="2" x14ac:dyDescent="0.2"/>
    <row r="39" spans="2:13" ht="22.5" outlineLevel="3" x14ac:dyDescent="0.2">
      <c r="B39" s="4" t="str">
        <f>"0013280056"</f>
        <v>0013280056</v>
      </c>
      <c r="C39" s="5" t="str">
        <f>"384064"</f>
        <v>384064</v>
      </c>
      <c r="D39" s="12" t="s">
        <v>1240</v>
      </c>
      <c r="E39" s="14" t="s">
        <v>14</v>
      </c>
      <c r="F39" s="12" t="s">
        <v>15</v>
      </c>
      <c r="G39" s="15">
        <v>56</v>
      </c>
      <c r="H39" s="12" t="s">
        <v>16</v>
      </c>
      <c r="I39" s="12" t="s">
        <v>5</v>
      </c>
      <c r="K39" s="16">
        <v>7.72</v>
      </c>
      <c r="L39" s="16">
        <v>12.31</v>
      </c>
      <c r="M39" s="16">
        <v>13.81</v>
      </c>
    </row>
    <row r="40" spans="2:13" outlineLevel="2" x14ac:dyDescent="0.2"/>
    <row r="41" spans="2:13" ht="22.5" outlineLevel="3" x14ac:dyDescent="0.2">
      <c r="B41" s="4" t="str">
        <f>"0013280100"</f>
        <v>0013280100</v>
      </c>
      <c r="C41" s="5" t="str">
        <f>"420209"</f>
        <v>420209</v>
      </c>
      <c r="D41" s="12" t="s">
        <v>1240</v>
      </c>
      <c r="E41" s="14" t="s">
        <v>14</v>
      </c>
      <c r="F41" s="12" t="s">
        <v>15</v>
      </c>
      <c r="G41" s="15">
        <v>100</v>
      </c>
      <c r="H41" s="12" t="s">
        <v>16</v>
      </c>
      <c r="I41" s="12" t="s">
        <v>5</v>
      </c>
      <c r="K41" s="16">
        <v>6.44</v>
      </c>
      <c r="L41" s="16">
        <v>10.27</v>
      </c>
      <c r="M41" s="16">
        <v>10.039999999999999</v>
      </c>
    </row>
    <row r="42" spans="2:13" ht="22.5" outlineLevel="3" x14ac:dyDescent="0.2">
      <c r="B42" s="4" t="str">
        <f>"0013280100"</f>
        <v>0013280100</v>
      </c>
      <c r="C42" s="5" t="str">
        <f>"496320"</f>
        <v>496320</v>
      </c>
      <c r="D42" s="12" t="s">
        <v>1241</v>
      </c>
      <c r="E42" s="14" t="s">
        <v>14</v>
      </c>
      <c r="F42" s="12" t="s">
        <v>15</v>
      </c>
      <c r="G42" s="15">
        <v>100</v>
      </c>
      <c r="H42" s="12" t="s">
        <v>16</v>
      </c>
      <c r="I42" s="12" t="s">
        <v>68</v>
      </c>
      <c r="K42" s="16">
        <v>6.44</v>
      </c>
      <c r="L42" s="16">
        <v>10.27</v>
      </c>
      <c r="M42" s="16">
        <v>10.039999999999999</v>
      </c>
    </row>
    <row r="43" spans="2:13" ht="22.5" outlineLevel="3" x14ac:dyDescent="0.2">
      <c r="B43" s="4" t="str">
        <f>"0013280100"</f>
        <v>0013280100</v>
      </c>
      <c r="C43" s="5" t="str">
        <f>"429482"</f>
        <v>429482</v>
      </c>
      <c r="D43" s="12" t="s">
        <v>1239</v>
      </c>
      <c r="E43" s="14" t="s">
        <v>14</v>
      </c>
      <c r="F43" s="12" t="s">
        <v>15</v>
      </c>
      <c r="G43" s="15">
        <v>100</v>
      </c>
      <c r="H43" s="12" t="s">
        <v>16</v>
      </c>
      <c r="I43" s="12" t="s">
        <v>60</v>
      </c>
      <c r="K43" s="16">
        <v>5.35</v>
      </c>
      <c r="L43" s="16">
        <v>8.5399999999999991</v>
      </c>
      <c r="M43" s="16">
        <v>10.039999999999999</v>
      </c>
    </row>
    <row r="44" spans="2:13" outlineLevel="2" x14ac:dyDescent="0.2"/>
    <row r="45" spans="2:13" ht="22.5" outlineLevel="3" x14ac:dyDescent="0.2">
      <c r="B45" s="4" t="str">
        <f>"0013290030"</f>
        <v>0013290030</v>
      </c>
      <c r="C45" s="5" t="str">
        <f>"087081"</f>
        <v>087081</v>
      </c>
      <c r="D45" s="12" t="s">
        <v>1241</v>
      </c>
      <c r="E45" s="14" t="s">
        <v>98</v>
      </c>
      <c r="F45" s="12" t="s">
        <v>15</v>
      </c>
      <c r="G45" s="15">
        <v>28</v>
      </c>
      <c r="H45" s="12" t="s">
        <v>16</v>
      </c>
      <c r="I45" s="12" t="s">
        <v>68</v>
      </c>
      <c r="K45" s="16">
        <v>4.74</v>
      </c>
      <c r="L45" s="16">
        <v>7.56</v>
      </c>
      <c r="M45" s="16">
        <v>7.41</v>
      </c>
    </row>
    <row r="46" spans="2:13" ht="22.5" outlineLevel="3" x14ac:dyDescent="0.2">
      <c r="B46" s="4" t="str">
        <f>"0013290030"</f>
        <v>0013290030</v>
      </c>
      <c r="C46" s="5" t="str">
        <f>"140323"</f>
        <v>140323</v>
      </c>
      <c r="D46" s="12" t="s">
        <v>1240</v>
      </c>
      <c r="E46" s="14" t="s">
        <v>98</v>
      </c>
      <c r="F46" s="12" t="s">
        <v>15</v>
      </c>
      <c r="G46" s="15">
        <v>28</v>
      </c>
      <c r="H46" s="12" t="s">
        <v>16</v>
      </c>
      <c r="I46" s="12" t="s">
        <v>5</v>
      </c>
      <c r="K46" s="16">
        <v>4.74</v>
      </c>
      <c r="L46" s="16">
        <v>7.56</v>
      </c>
      <c r="M46" s="16">
        <v>7.41</v>
      </c>
    </row>
    <row r="47" spans="2:13" ht="22.5" outlineLevel="3" x14ac:dyDescent="0.2">
      <c r="B47" s="4" t="str">
        <f>"0013290030"</f>
        <v>0013290030</v>
      </c>
      <c r="C47" s="5" t="str">
        <f>"578670"</f>
        <v>578670</v>
      </c>
      <c r="D47" s="12" t="s">
        <v>1239</v>
      </c>
      <c r="E47" s="14" t="s">
        <v>98</v>
      </c>
      <c r="F47" s="12" t="s">
        <v>15</v>
      </c>
      <c r="G47" s="15">
        <v>28</v>
      </c>
      <c r="H47" s="12" t="s">
        <v>16</v>
      </c>
      <c r="I47" s="12" t="s">
        <v>60</v>
      </c>
      <c r="K47" s="16">
        <v>3.7</v>
      </c>
      <c r="L47" s="16">
        <v>5.91</v>
      </c>
      <c r="M47" s="16">
        <v>7.41</v>
      </c>
    </row>
    <row r="48" spans="2:13" outlineLevel="2" x14ac:dyDescent="0.2"/>
    <row r="49" spans="1:13" ht="22.5" outlineLevel="3" x14ac:dyDescent="0.2">
      <c r="B49" s="4" t="str">
        <f>"0013290056"</f>
        <v>0013290056</v>
      </c>
      <c r="C49" s="5" t="str">
        <f>"470338"</f>
        <v>470338</v>
      </c>
      <c r="D49" s="12" t="s">
        <v>1240</v>
      </c>
      <c r="E49" s="14" t="s">
        <v>98</v>
      </c>
      <c r="F49" s="12" t="s">
        <v>15</v>
      </c>
      <c r="G49" s="15">
        <v>56</v>
      </c>
      <c r="H49" s="12" t="s">
        <v>16</v>
      </c>
      <c r="I49" s="12" t="s">
        <v>5</v>
      </c>
      <c r="K49" s="16">
        <v>21.01</v>
      </c>
      <c r="L49" s="16">
        <v>32.21</v>
      </c>
      <c r="M49" s="16">
        <v>33.71</v>
      </c>
    </row>
    <row r="50" spans="1:13" outlineLevel="2" x14ac:dyDescent="0.2"/>
    <row r="51" spans="1:13" ht="22.5" outlineLevel="3" x14ac:dyDescent="0.2">
      <c r="B51" s="4" t="str">
        <f>"0013290100"</f>
        <v>0013290100</v>
      </c>
      <c r="C51" s="5" t="str">
        <f>"050702"</f>
        <v>050702</v>
      </c>
      <c r="D51" s="12" t="s">
        <v>1241</v>
      </c>
      <c r="E51" s="14" t="s">
        <v>98</v>
      </c>
      <c r="F51" s="12" t="s">
        <v>15</v>
      </c>
      <c r="G51" s="15">
        <v>100</v>
      </c>
      <c r="H51" s="12" t="s">
        <v>16</v>
      </c>
      <c r="I51" s="12" t="s">
        <v>68</v>
      </c>
      <c r="K51" s="16">
        <v>40.35</v>
      </c>
      <c r="L51" s="16">
        <v>60.93</v>
      </c>
      <c r="M51" s="16">
        <v>60.19</v>
      </c>
    </row>
    <row r="52" spans="1:13" ht="22.5" outlineLevel="3" x14ac:dyDescent="0.2">
      <c r="B52" s="4" t="str">
        <f>"0013290100"</f>
        <v>0013290100</v>
      </c>
      <c r="C52" s="5" t="str">
        <f>"167055"</f>
        <v>167055</v>
      </c>
      <c r="D52" s="12" t="s">
        <v>1240</v>
      </c>
      <c r="E52" s="14" t="s">
        <v>98</v>
      </c>
      <c r="F52" s="12" t="s">
        <v>15</v>
      </c>
      <c r="G52" s="15">
        <v>100</v>
      </c>
      <c r="H52" s="12" t="s">
        <v>16</v>
      </c>
      <c r="I52" s="12" t="s">
        <v>5</v>
      </c>
      <c r="K52" s="16">
        <v>40.35</v>
      </c>
      <c r="L52" s="16">
        <v>60.93</v>
      </c>
      <c r="M52" s="16">
        <v>60.19</v>
      </c>
    </row>
    <row r="53" spans="1:13" ht="22.5" outlineLevel="3" x14ac:dyDescent="0.2">
      <c r="B53" s="4" t="str">
        <f>"0013290100"</f>
        <v>0013290100</v>
      </c>
      <c r="C53" s="5" t="str">
        <f>"409213"</f>
        <v>409213</v>
      </c>
      <c r="D53" s="12" t="s">
        <v>1241</v>
      </c>
      <c r="E53" s="14" t="s">
        <v>98</v>
      </c>
      <c r="F53" s="12" t="s">
        <v>15</v>
      </c>
      <c r="G53" s="15">
        <v>98</v>
      </c>
      <c r="H53" s="12" t="s">
        <v>16</v>
      </c>
      <c r="I53" s="12" t="s">
        <v>68</v>
      </c>
      <c r="K53" s="16">
        <v>40.35</v>
      </c>
      <c r="L53" s="16">
        <v>60.93</v>
      </c>
      <c r="M53" s="16">
        <v>60.19</v>
      </c>
    </row>
    <row r="54" spans="1:13" ht="22.5" outlineLevel="3" x14ac:dyDescent="0.2">
      <c r="B54" s="4" t="str">
        <f>"0013290100"</f>
        <v>0013290100</v>
      </c>
      <c r="C54" s="5" t="str">
        <f>"033905"</f>
        <v>033905</v>
      </c>
      <c r="D54" s="12" t="s">
        <v>1239</v>
      </c>
      <c r="E54" s="14" t="s">
        <v>98</v>
      </c>
      <c r="F54" s="12" t="s">
        <v>15</v>
      </c>
      <c r="G54" s="15">
        <v>100</v>
      </c>
      <c r="H54" s="12" t="s">
        <v>16</v>
      </c>
      <c r="I54" s="12" t="s">
        <v>60</v>
      </c>
      <c r="K54" s="16">
        <v>38.5</v>
      </c>
      <c r="L54" s="16">
        <v>58.19</v>
      </c>
      <c r="M54" s="16">
        <v>60.19</v>
      </c>
    </row>
    <row r="55" spans="1:13" outlineLevel="1" x14ac:dyDescent="0.2">
      <c r="A55" s="3"/>
    </row>
    <row r="56" spans="1:13" outlineLevel="2" x14ac:dyDescent="0.2">
      <c r="A56" s="3" t="s">
        <v>1404</v>
      </c>
    </row>
    <row r="57" spans="1:13" outlineLevel="3" x14ac:dyDescent="0.2">
      <c r="B57" s="4" t="str">
        <f>"0008280014"</f>
        <v>0008280014</v>
      </c>
      <c r="C57" s="5" t="str">
        <f>"102887"</f>
        <v>102887</v>
      </c>
      <c r="D57" s="12" t="s">
        <v>890</v>
      </c>
      <c r="E57" s="14" t="s">
        <v>14</v>
      </c>
      <c r="F57" s="12" t="s">
        <v>19</v>
      </c>
      <c r="G57" s="15">
        <v>14</v>
      </c>
      <c r="H57" s="12" t="s">
        <v>891</v>
      </c>
      <c r="I57" s="12" t="s">
        <v>30</v>
      </c>
      <c r="K57" s="16">
        <v>6.4</v>
      </c>
      <c r="L57" s="16">
        <v>10.210000000000001</v>
      </c>
      <c r="M57" s="16">
        <v>11.71</v>
      </c>
    </row>
    <row r="58" spans="1:13" outlineLevel="3" x14ac:dyDescent="0.2">
      <c r="B58" s="4" t="str">
        <f>"0008280014"</f>
        <v>0008280014</v>
      </c>
      <c r="C58" s="5" t="str">
        <f>"545467"</f>
        <v>545467</v>
      </c>
      <c r="D58" s="12" t="s">
        <v>892</v>
      </c>
      <c r="E58" s="14" t="s">
        <v>14</v>
      </c>
      <c r="F58" s="12" t="s">
        <v>19</v>
      </c>
      <c r="G58" s="15">
        <v>14</v>
      </c>
      <c r="H58" s="12" t="s">
        <v>891</v>
      </c>
      <c r="I58" s="12" t="s">
        <v>893</v>
      </c>
      <c r="K58" s="16">
        <v>6.4</v>
      </c>
      <c r="L58" s="16">
        <v>10.210000000000001</v>
      </c>
      <c r="M58" s="16">
        <v>11.71</v>
      </c>
    </row>
    <row r="59" spans="1:13" outlineLevel="2" x14ac:dyDescent="0.2"/>
    <row r="60" spans="1:13" outlineLevel="3" x14ac:dyDescent="0.2">
      <c r="B60" s="4" t="str">
        <f>"0008280030"</f>
        <v>0008280030</v>
      </c>
      <c r="C60" s="5" t="str">
        <f>"101479"</f>
        <v>101479</v>
      </c>
      <c r="D60" s="12" t="s">
        <v>890</v>
      </c>
      <c r="E60" s="14" t="s">
        <v>14</v>
      </c>
      <c r="F60" s="12" t="s">
        <v>19</v>
      </c>
      <c r="G60" s="15">
        <v>28</v>
      </c>
      <c r="H60" s="12" t="s">
        <v>891</v>
      </c>
      <c r="I60" s="12" t="s">
        <v>30</v>
      </c>
      <c r="K60" s="16">
        <v>9.83</v>
      </c>
      <c r="L60" s="16">
        <v>15.61</v>
      </c>
      <c r="M60" s="16">
        <v>15.57</v>
      </c>
    </row>
    <row r="61" spans="1:13" outlineLevel="3" x14ac:dyDescent="0.2">
      <c r="B61" s="4" t="str">
        <f>"0008280030"</f>
        <v>0008280030</v>
      </c>
      <c r="C61" s="5" t="str">
        <f>"545657"</f>
        <v>545657</v>
      </c>
      <c r="D61" s="12" t="s">
        <v>892</v>
      </c>
      <c r="E61" s="14" t="s">
        <v>14</v>
      </c>
      <c r="F61" s="12" t="s">
        <v>19</v>
      </c>
      <c r="G61" s="15">
        <v>28</v>
      </c>
      <c r="H61" s="12" t="s">
        <v>891</v>
      </c>
      <c r="I61" s="12" t="s">
        <v>893</v>
      </c>
      <c r="K61" s="16">
        <v>9.83</v>
      </c>
      <c r="L61" s="16">
        <v>15.61</v>
      </c>
      <c r="M61" s="16">
        <v>15.57</v>
      </c>
    </row>
    <row r="62" spans="1:13" outlineLevel="3" x14ac:dyDescent="0.2">
      <c r="B62" s="4" t="str">
        <f>"0008280030"</f>
        <v>0008280030</v>
      </c>
      <c r="C62" s="5" t="str">
        <f>"448074"</f>
        <v>448074</v>
      </c>
      <c r="D62" s="12" t="s">
        <v>894</v>
      </c>
      <c r="E62" s="14" t="s">
        <v>14</v>
      </c>
      <c r="F62" s="12" t="s">
        <v>19</v>
      </c>
      <c r="G62" s="15">
        <v>28</v>
      </c>
      <c r="H62" s="12" t="s">
        <v>891</v>
      </c>
      <c r="I62" s="12" t="s">
        <v>11</v>
      </c>
      <c r="K62" s="16">
        <v>8.82</v>
      </c>
      <c r="L62" s="16">
        <v>14.07</v>
      </c>
      <c r="M62" s="16">
        <v>15.57</v>
      </c>
    </row>
    <row r="63" spans="1:13" outlineLevel="2" x14ac:dyDescent="0.2"/>
    <row r="64" spans="1:13" outlineLevel="3" x14ac:dyDescent="0.2">
      <c r="B64" s="4" t="str">
        <f>"0008280056"</f>
        <v>0008280056</v>
      </c>
      <c r="C64" s="5" t="str">
        <f>"083167"</f>
        <v>083167</v>
      </c>
      <c r="D64" s="12" t="s">
        <v>895</v>
      </c>
      <c r="E64" s="14" t="s">
        <v>14</v>
      </c>
      <c r="F64" s="12" t="s">
        <v>19</v>
      </c>
      <c r="G64" s="15">
        <v>56</v>
      </c>
      <c r="H64" s="12" t="s">
        <v>891</v>
      </c>
      <c r="I64" s="12" t="s">
        <v>17</v>
      </c>
      <c r="K64" s="16">
        <v>23.56</v>
      </c>
      <c r="L64" s="16">
        <v>36</v>
      </c>
      <c r="M64" s="16">
        <v>17.05</v>
      </c>
    </row>
    <row r="65" spans="2:13" outlineLevel="3" x14ac:dyDescent="0.2">
      <c r="B65" s="4" t="str">
        <f>"0008280056"</f>
        <v>0008280056</v>
      </c>
      <c r="C65" s="5" t="str">
        <f>"102896"</f>
        <v>102896</v>
      </c>
      <c r="D65" s="12" t="s">
        <v>890</v>
      </c>
      <c r="E65" s="14" t="s">
        <v>14</v>
      </c>
      <c r="F65" s="12" t="s">
        <v>19</v>
      </c>
      <c r="G65" s="15">
        <v>56</v>
      </c>
      <c r="H65" s="12" t="s">
        <v>891</v>
      </c>
      <c r="I65" s="12" t="s">
        <v>30</v>
      </c>
      <c r="K65" s="16">
        <v>10.84</v>
      </c>
      <c r="L65" s="16">
        <v>17.11</v>
      </c>
      <c r="M65" s="16">
        <v>17.05</v>
      </c>
    </row>
    <row r="66" spans="2:13" outlineLevel="3" x14ac:dyDescent="0.2">
      <c r="B66" s="4" t="str">
        <f>"0008280056"</f>
        <v>0008280056</v>
      </c>
      <c r="C66" s="5" t="str">
        <f>"545673"</f>
        <v>545673</v>
      </c>
      <c r="D66" s="12" t="s">
        <v>892</v>
      </c>
      <c r="E66" s="14" t="s">
        <v>14</v>
      </c>
      <c r="F66" s="12" t="s">
        <v>19</v>
      </c>
      <c r="G66" s="15">
        <v>56</v>
      </c>
      <c r="H66" s="12" t="s">
        <v>891</v>
      </c>
      <c r="I66" s="12" t="s">
        <v>893</v>
      </c>
      <c r="K66" s="16">
        <v>10.84</v>
      </c>
      <c r="L66" s="16">
        <v>17.11</v>
      </c>
      <c r="M66" s="16">
        <v>17.05</v>
      </c>
    </row>
    <row r="67" spans="2:13" outlineLevel="3" x14ac:dyDescent="0.2">
      <c r="B67" s="4" t="str">
        <f>"0008280056"</f>
        <v>0008280056</v>
      </c>
      <c r="C67" s="5" t="str">
        <f>"505775"</f>
        <v>505775</v>
      </c>
      <c r="D67" s="12" t="s">
        <v>894</v>
      </c>
      <c r="E67" s="14" t="s">
        <v>14</v>
      </c>
      <c r="F67" s="12" t="s">
        <v>19</v>
      </c>
      <c r="G67" s="15">
        <v>56</v>
      </c>
      <c r="H67" s="12" t="s">
        <v>891</v>
      </c>
      <c r="I67" s="12" t="s">
        <v>11</v>
      </c>
      <c r="K67" s="16">
        <v>9.7899999999999991</v>
      </c>
      <c r="L67" s="16">
        <v>15.55</v>
      </c>
      <c r="M67" s="16">
        <v>17.05</v>
      </c>
    </row>
    <row r="68" spans="2:13" outlineLevel="2" x14ac:dyDescent="0.2"/>
    <row r="69" spans="2:13" outlineLevel="3" x14ac:dyDescent="0.2">
      <c r="B69" s="4" t="str">
        <f t="shared" ref="B69:B75" si="0">"0008280100"</f>
        <v>0008280100</v>
      </c>
      <c r="C69" s="5" t="str">
        <f>"163607"</f>
        <v>163607</v>
      </c>
      <c r="D69" s="12" t="s">
        <v>896</v>
      </c>
      <c r="E69" s="14" t="s">
        <v>14</v>
      </c>
      <c r="F69" s="12" t="s">
        <v>19</v>
      </c>
      <c r="G69" s="15">
        <v>98</v>
      </c>
      <c r="H69" s="12" t="s">
        <v>891</v>
      </c>
      <c r="I69" s="12" t="s">
        <v>70</v>
      </c>
      <c r="J69" s="2" t="s">
        <v>1400</v>
      </c>
      <c r="K69" s="16">
        <v>13.38</v>
      </c>
      <c r="L69" s="16">
        <v>20.88</v>
      </c>
      <c r="M69" s="16">
        <v>20.81</v>
      </c>
    </row>
    <row r="70" spans="2:13" outlineLevel="3" x14ac:dyDescent="0.2">
      <c r="B70" s="4" t="str">
        <f t="shared" si="0"/>
        <v>0008280100</v>
      </c>
      <c r="C70" s="5" t="str">
        <f>"040604"</f>
        <v>040604</v>
      </c>
      <c r="D70" s="12" t="s">
        <v>897</v>
      </c>
      <c r="E70" s="14" t="s">
        <v>14</v>
      </c>
      <c r="F70" s="12" t="s">
        <v>19</v>
      </c>
      <c r="G70" s="15">
        <v>100</v>
      </c>
      <c r="H70" s="12" t="s">
        <v>891</v>
      </c>
      <c r="I70" s="12" t="s">
        <v>58</v>
      </c>
      <c r="K70" s="16">
        <v>13.38</v>
      </c>
      <c r="L70" s="16">
        <v>20.88</v>
      </c>
      <c r="M70" s="16">
        <v>20.81</v>
      </c>
    </row>
    <row r="71" spans="2:13" outlineLevel="3" x14ac:dyDescent="0.2">
      <c r="B71" s="4" t="str">
        <f t="shared" si="0"/>
        <v>0008280100</v>
      </c>
      <c r="C71" s="5" t="str">
        <f>"101488"</f>
        <v>101488</v>
      </c>
      <c r="D71" s="12" t="s">
        <v>890</v>
      </c>
      <c r="E71" s="14" t="s">
        <v>14</v>
      </c>
      <c r="F71" s="12" t="s">
        <v>19</v>
      </c>
      <c r="G71" s="15">
        <v>98</v>
      </c>
      <c r="H71" s="12" t="s">
        <v>891</v>
      </c>
      <c r="I71" s="12" t="s">
        <v>30</v>
      </c>
      <c r="K71" s="16">
        <v>13.38</v>
      </c>
      <c r="L71" s="16">
        <v>20.88</v>
      </c>
      <c r="M71" s="16">
        <v>20.81</v>
      </c>
    </row>
    <row r="72" spans="2:13" ht="22.5" outlineLevel="3" x14ac:dyDescent="0.2">
      <c r="B72" s="4" t="str">
        <f t="shared" si="0"/>
        <v>0008280100</v>
      </c>
      <c r="C72" s="5" t="str">
        <f>"131319"</f>
        <v>131319</v>
      </c>
      <c r="D72" s="12" t="s">
        <v>898</v>
      </c>
      <c r="E72" s="14" t="s">
        <v>14</v>
      </c>
      <c r="F72" s="12" t="s">
        <v>19</v>
      </c>
      <c r="G72" s="15">
        <v>100</v>
      </c>
      <c r="H72" s="12" t="s">
        <v>891</v>
      </c>
      <c r="I72" s="12" t="s">
        <v>68</v>
      </c>
      <c r="K72" s="16">
        <v>13.38</v>
      </c>
      <c r="L72" s="16">
        <v>20.88</v>
      </c>
      <c r="M72" s="16">
        <v>20.81</v>
      </c>
    </row>
    <row r="73" spans="2:13" outlineLevel="3" x14ac:dyDescent="0.2">
      <c r="B73" s="4" t="str">
        <f t="shared" si="0"/>
        <v>0008280100</v>
      </c>
      <c r="C73" s="5" t="str">
        <f>"500035"</f>
        <v>500035</v>
      </c>
      <c r="D73" s="12" t="s">
        <v>899</v>
      </c>
      <c r="E73" s="14" t="s">
        <v>14</v>
      </c>
      <c r="F73" s="12" t="s">
        <v>19</v>
      </c>
      <c r="G73" s="15">
        <v>100</v>
      </c>
      <c r="H73" s="12" t="s">
        <v>891</v>
      </c>
      <c r="I73" s="12" t="s">
        <v>298</v>
      </c>
      <c r="K73" s="16">
        <v>13.38</v>
      </c>
      <c r="L73" s="16">
        <v>20.88</v>
      </c>
      <c r="M73" s="16">
        <v>20.81</v>
      </c>
    </row>
    <row r="74" spans="2:13" outlineLevel="3" x14ac:dyDescent="0.2">
      <c r="B74" s="4" t="str">
        <f t="shared" si="0"/>
        <v>0008280100</v>
      </c>
      <c r="C74" s="5" t="str">
        <f>"545319"</f>
        <v>545319</v>
      </c>
      <c r="D74" s="12" t="s">
        <v>892</v>
      </c>
      <c r="E74" s="14" t="s">
        <v>14</v>
      </c>
      <c r="F74" s="12" t="s">
        <v>19</v>
      </c>
      <c r="G74" s="15">
        <v>100</v>
      </c>
      <c r="H74" s="12" t="s">
        <v>891</v>
      </c>
      <c r="I74" s="12" t="s">
        <v>893</v>
      </c>
      <c r="K74" s="16">
        <v>13.38</v>
      </c>
      <c r="L74" s="16">
        <v>20.88</v>
      </c>
      <c r="M74" s="16">
        <v>20.81</v>
      </c>
    </row>
    <row r="75" spans="2:13" outlineLevel="3" x14ac:dyDescent="0.2">
      <c r="B75" s="4" t="str">
        <f t="shared" si="0"/>
        <v>0008280100</v>
      </c>
      <c r="C75" s="5" t="str">
        <f>"520030"</f>
        <v>520030</v>
      </c>
      <c r="D75" s="12" t="s">
        <v>894</v>
      </c>
      <c r="E75" s="14" t="s">
        <v>14</v>
      </c>
      <c r="F75" s="12" t="s">
        <v>19</v>
      </c>
      <c r="G75" s="15">
        <v>98</v>
      </c>
      <c r="H75" s="12" t="s">
        <v>891</v>
      </c>
      <c r="I75" s="12" t="s">
        <v>11</v>
      </c>
      <c r="K75" s="16">
        <v>12.32</v>
      </c>
      <c r="L75" s="16">
        <v>19.309999999999999</v>
      </c>
      <c r="M75" s="16">
        <v>20.81</v>
      </c>
    </row>
    <row r="76" spans="2:13" outlineLevel="2" x14ac:dyDescent="0.2"/>
    <row r="77" spans="2:13" outlineLevel="3" x14ac:dyDescent="0.2">
      <c r="B77" s="4" t="str">
        <f>"0008290014"</f>
        <v>0008290014</v>
      </c>
      <c r="C77" s="5" t="str">
        <f>"001411"</f>
        <v>001411</v>
      </c>
      <c r="D77" s="12" t="s">
        <v>892</v>
      </c>
      <c r="E77" s="14" t="s">
        <v>98</v>
      </c>
      <c r="F77" s="12" t="s">
        <v>19</v>
      </c>
      <c r="G77" s="15">
        <v>14</v>
      </c>
      <c r="H77" s="12" t="s">
        <v>891</v>
      </c>
      <c r="I77" s="12" t="s">
        <v>893</v>
      </c>
      <c r="K77" s="16">
        <v>8.67</v>
      </c>
      <c r="L77" s="16">
        <v>13.83</v>
      </c>
      <c r="M77" s="16">
        <v>13.83</v>
      </c>
    </row>
    <row r="78" spans="2:13" outlineLevel="3" x14ac:dyDescent="0.2">
      <c r="B78" s="4" t="str">
        <f>"0008290014"</f>
        <v>0008290014</v>
      </c>
      <c r="C78" s="5" t="str">
        <f>"102869"</f>
        <v>102869</v>
      </c>
      <c r="D78" s="12" t="s">
        <v>890</v>
      </c>
      <c r="E78" s="14" t="s">
        <v>98</v>
      </c>
      <c r="F78" s="12" t="s">
        <v>19</v>
      </c>
      <c r="G78" s="15">
        <v>14</v>
      </c>
      <c r="H78" s="12" t="s">
        <v>891</v>
      </c>
      <c r="I78" s="12" t="s">
        <v>30</v>
      </c>
      <c r="K78" s="16">
        <v>8.67</v>
      </c>
      <c r="L78" s="16">
        <v>13.83</v>
      </c>
      <c r="M78" s="16">
        <v>13.83</v>
      </c>
    </row>
    <row r="79" spans="2:13" ht="22.5" outlineLevel="3" x14ac:dyDescent="0.2">
      <c r="B79" s="4" t="str">
        <f>"0008290014"</f>
        <v>0008290014</v>
      </c>
      <c r="C79" s="5" t="str">
        <f>"131341"</f>
        <v>131341</v>
      </c>
      <c r="D79" s="12" t="s">
        <v>898</v>
      </c>
      <c r="E79" s="14" t="s">
        <v>98</v>
      </c>
      <c r="F79" s="12" t="s">
        <v>19</v>
      </c>
      <c r="G79" s="15">
        <v>14</v>
      </c>
      <c r="H79" s="12" t="s">
        <v>891</v>
      </c>
      <c r="I79" s="12" t="s">
        <v>68</v>
      </c>
      <c r="K79" s="16">
        <v>7.73</v>
      </c>
      <c r="L79" s="16">
        <v>12.33</v>
      </c>
      <c r="M79" s="16">
        <v>13.83</v>
      </c>
    </row>
    <row r="80" spans="2:13" outlineLevel="2" x14ac:dyDescent="0.2"/>
    <row r="81" spans="2:13" outlineLevel="3" x14ac:dyDescent="0.2">
      <c r="B81" s="4" t="str">
        <f>"0008290030"</f>
        <v>0008290030</v>
      </c>
      <c r="C81" s="5" t="str">
        <f>"033303"</f>
        <v>033303</v>
      </c>
      <c r="D81" s="12" t="s">
        <v>895</v>
      </c>
      <c r="E81" s="14" t="s">
        <v>98</v>
      </c>
      <c r="F81" s="12" t="s">
        <v>19</v>
      </c>
      <c r="G81" s="15">
        <v>28</v>
      </c>
      <c r="H81" s="12" t="s">
        <v>891</v>
      </c>
      <c r="I81" s="12" t="s">
        <v>17</v>
      </c>
      <c r="K81" s="16">
        <v>22.85</v>
      </c>
      <c r="L81" s="16">
        <v>34.950000000000003</v>
      </c>
      <c r="M81" s="16">
        <v>16.690000000000001</v>
      </c>
    </row>
    <row r="82" spans="2:13" outlineLevel="3" x14ac:dyDescent="0.2">
      <c r="B82" s="4" t="str">
        <f>"0008290030"</f>
        <v>0008290030</v>
      </c>
      <c r="C82" s="5" t="str">
        <f>"167741"</f>
        <v>167741</v>
      </c>
      <c r="D82" s="12" t="s">
        <v>896</v>
      </c>
      <c r="E82" s="14" t="s">
        <v>98</v>
      </c>
      <c r="F82" s="12" t="s">
        <v>19</v>
      </c>
      <c r="G82" s="15">
        <v>28</v>
      </c>
      <c r="H82" s="12" t="s">
        <v>891</v>
      </c>
      <c r="I82" s="12" t="s">
        <v>70</v>
      </c>
      <c r="J82" s="2" t="s">
        <v>1400</v>
      </c>
      <c r="K82" s="16">
        <v>10.61</v>
      </c>
      <c r="L82" s="16">
        <v>16.760000000000002</v>
      </c>
      <c r="M82" s="16">
        <v>16.690000000000001</v>
      </c>
    </row>
    <row r="83" spans="2:13" outlineLevel="3" x14ac:dyDescent="0.2">
      <c r="B83" s="4" t="str">
        <f>"0008290030"</f>
        <v>0008290030</v>
      </c>
      <c r="C83" s="5" t="str">
        <f>"004801"</f>
        <v>004801</v>
      </c>
      <c r="D83" s="12" t="s">
        <v>892</v>
      </c>
      <c r="E83" s="14" t="s">
        <v>98</v>
      </c>
      <c r="F83" s="12" t="s">
        <v>19</v>
      </c>
      <c r="G83" s="15">
        <v>28</v>
      </c>
      <c r="H83" s="12" t="s">
        <v>891</v>
      </c>
      <c r="I83" s="12" t="s">
        <v>893</v>
      </c>
      <c r="K83" s="16">
        <v>10.61</v>
      </c>
      <c r="L83" s="16">
        <v>16.760000000000002</v>
      </c>
      <c r="M83" s="16">
        <v>16.690000000000001</v>
      </c>
    </row>
    <row r="84" spans="2:13" outlineLevel="3" x14ac:dyDescent="0.2">
      <c r="B84" s="4" t="str">
        <f>"0008290030"</f>
        <v>0008290030</v>
      </c>
      <c r="C84" s="5" t="str">
        <f>"101452"</f>
        <v>101452</v>
      </c>
      <c r="D84" s="12" t="s">
        <v>890</v>
      </c>
      <c r="E84" s="14" t="s">
        <v>98</v>
      </c>
      <c r="F84" s="12" t="s">
        <v>19</v>
      </c>
      <c r="G84" s="15">
        <v>28</v>
      </c>
      <c r="H84" s="12" t="s">
        <v>891</v>
      </c>
      <c r="I84" s="12" t="s">
        <v>30</v>
      </c>
      <c r="K84" s="16">
        <v>10.61</v>
      </c>
      <c r="L84" s="16">
        <v>16.760000000000002</v>
      </c>
      <c r="M84" s="16">
        <v>16.690000000000001</v>
      </c>
    </row>
    <row r="85" spans="2:13" outlineLevel="3" x14ac:dyDescent="0.2">
      <c r="B85" s="4" t="str">
        <f>"0008290030"</f>
        <v>0008290030</v>
      </c>
      <c r="C85" s="5" t="str">
        <f>"560881"</f>
        <v>560881</v>
      </c>
      <c r="D85" s="12" t="s">
        <v>894</v>
      </c>
      <c r="E85" s="14" t="s">
        <v>98</v>
      </c>
      <c r="F85" s="12" t="s">
        <v>19</v>
      </c>
      <c r="G85" s="15">
        <v>28</v>
      </c>
      <c r="H85" s="12" t="s">
        <v>891</v>
      </c>
      <c r="I85" s="12" t="s">
        <v>11</v>
      </c>
      <c r="K85" s="16">
        <v>9.5500000000000007</v>
      </c>
      <c r="L85" s="16">
        <v>15.19</v>
      </c>
      <c r="M85" s="16">
        <v>16.690000000000001</v>
      </c>
    </row>
    <row r="86" spans="2:13" outlineLevel="2" x14ac:dyDescent="0.2"/>
    <row r="87" spans="2:13" outlineLevel="3" x14ac:dyDescent="0.2">
      <c r="B87" s="4" t="str">
        <f>"0008290056"</f>
        <v>0008290056</v>
      </c>
      <c r="C87" s="5" t="str">
        <f>"005209"</f>
        <v>005209</v>
      </c>
      <c r="D87" s="12" t="s">
        <v>892</v>
      </c>
      <c r="E87" s="14" t="s">
        <v>98</v>
      </c>
      <c r="F87" s="12" t="s">
        <v>19</v>
      </c>
      <c r="G87" s="15">
        <v>56</v>
      </c>
      <c r="H87" s="12" t="s">
        <v>891</v>
      </c>
      <c r="I87" s="12" t="s">
        <v>893</v>
      </c>
      <c r="K87" s="16">
        <v>12.82</v>
      </c>
      <c r="L87" s="16">
        <v>20.05</v>
      </c>
      <c r="M87" s="16">
        <v>19.989999999999998</v>
      </c>
    </row>
    <row r="88" spans="2:13" outlineLevel="3" x14ac:dyDescent="0.2">
      <c r="B88" s="4" t="str">
        <f>"0008290056"</f>
        <v>0008290056</v>
      </c>
      <c r="C88" s="5" t="str">
        <f>"102878"</f>
        <v>102878</v>
      </c>
      <c r="D88" s="12" t="s">
        <v>890</v>
      </c>
      <c r="E88" s="14" t="s">
        <v>98</v>
      </c>
      <c r="F88" s="12" t="s">
        <v>19</v>
      </c>
      <c r="G88" s="15">
        <v>56</v>
      </c>
      <c r="H88" s="12" t="s">
        <v>891</v>
      </c>
      <c r="I88" s="12" t="s">
        <v>30</v>
      </c>
      <c r="K88" s="16">
        <v>12.82</v>
      </c>
      <c r="L88" s="16">
        <v>20.05</v>
      </c>
      <c r="M88" s="16">
        <v>19.989999999999998</v>
      </c>
    </row>
    <row r="89" spans="2:13" outlineLevel="3" x14ac:dyDescent="0.2">
      <c r="B89" s="4" t="str">
        <f>"0008290056"</f>
        <v>0008290056</v>
      </c>
      <c r="C89" s="5" t="str">
        <f>"439896"</f>
        <v>439896</v>
      </c>
      <c r="D89" s="12" t="s">
        <v>894</v>
      </c>
      <c r="E89" s="14" t="s">
        <v>98</v>
      </c>
      <c r="F89" s="12" t="s">
        <v>19</v>
      </c>
      <c r="G89" s="15">
        <v>56</v>
      </c>
      <c r="H89" s="12" t="s">
        <v>891</v>
      </c>
      <c r="I89" s="12" t="s">
        <v>11</v>
      </c>
      <c r="K89" s="16">
        <v>11.77</v>
      </c>
      <c r="L89" s="16">
        <v>18.489999999999998</v>
      </c>
      <c r="M89" s="16">
        <v>19.989999999999998</v>
      </c>
    </row>
    <row r="90" spans="2:13" outlineLevel="2" x14ac:dyDescent="0.2"/>
    <row r="91" spans="2:13" outlineLevel="3" x14ac:dyDescent="0.2">
      <c r="B91" s="4" t="str">
        <f t="shared" ref="B91:B98" si="1">"0008290100"</f>
        <v>0008290100</v>
      </c>
      <c r="C91" s="5" t="str">
        <f>"167763"</f>
        <v>167763</v>
      </c>
      <c r="D91" s="12" t="s">
        <v>896</v>
      </c>
      <c r="E91" s="14" t="s">
        <v>98</v>
      </c>
      <c r="F91" s="12" t="s">
        <v>19</v>
      </c>
      <c r="G91" s="15">
        <v>98</v>
      </c>
      <c r="H91" s="12" t="s">
        <v>891</v>
      </c>
      <c r="I91" s="12" t="s">
        <v>70</v>
      </c>
      <c r="J91" s="2" t="s">
        <v>1400</v>
      </c>
      <c r="K91" s="16">
        <v>13.38</v>
      </c>
      <c r="L91" s="16">
        <v>20.88</v>
      </c>
      <c r="M91" s="16">
        <v>20.79</v>
      </c>
    </row>
    <row r="92" spans="2:13" outlineLevel="3" x14ac:dyDescent="0.2">
      <c r="B92" s="4" t="str">
        <f t="shared" si="1"/>
        <v>0008290100</v>
      </c>
      <c r="C92" s="5" t="str">
        <f>"040649"</f>
        <v>040649</v>
      </c>
      <c r="D92" s="12" t="s">
        <v>897</v>
      </c>
      <c r="E92" s="14" t="s">
        <v>98</v>
      </c>
      <c r="F92" s="12" t="s">
        <v>19</v>
      </c>
      <c r="G92" s="15">
        <v>100</v>
      </c>
      <c r="H92" s="12" t="s">
        <v>891</v>
      </c>
      <c r="I92" s="12" t="s">
        <v>58</v>
      </c>
      <c r="K92" s="16">
        <v>13.38</v>
      </c>
      <c r="L92" s="16">
        <v>20.88</v>
      </c>
      <c r="M92" s="16">
        <v>20.79</v>
      </c>
    </row>
    <row r="93" spans="2:13" outlineLevel="3" x14ac:dyDescent="0.2">
      <c r="B93" s="4" t="str">
        <f t="shared" si="1"/>
        <v>0008290100</v>
      </c>
      <c r="C93" s="5" t="str">
        <f>"101461"</f>
        <v>101461</v>
      </c>
      <c r="D93" s="12" t="s">
        <v>890</v>
      </c>
      <c r="E93" s="14" t="s">
        <v>98</v>
      </c>
      <c r="F93" s="12" t="s">
        <v>19</v>
      </c>
      <c r="G93" s="15">
        <v>98</v>
      </c>
      <c r="H93" s="12" t="s">
        <v>891</v>
      </c>
      <c r="I93" s="12" t="s">
        <v>30</v>
      </c>
      <c r="K93" s="16">
        <v>13.38</v>
      </c>
      <c r="L93" s="16">
        <v>20.88</v>
      </c>
      <c r="M93" s="16">
        <v>20.79</v>
      </c>
    </row>
    <row r="94" spans="2:13" outlineLevel="3" x14ac:dyDescent="0.2">
      <c r="B94" s="4" t="str">
        <f t="shared" si="1"/>
        <v>0008290100</v>
      </c>
      <c r="C94" s="5" t="str">
        <f>"108969"</f>
        <v>108969</v>
      </c>
      <c r="D94" s="12" t="s">
        <v>892</v>
      </c>
      <c r="E94" s="14" t="s">
        <v>98</v>
      </c>
      <c r="F94" s="12" t="s">
        <v>19</v>
      </c>
      <c r="G94" s="15" t="s">
        <v>123</v>
      </c>
      <c r="H94" s="12" t="s">
        <v>891</v>
      </c>
      <c r="I94" s="12" t="s">
        <v>893</v>
      </c>
      <c r="K94" s="16">
        <v>13.38</v>
      </c>
      <c r="L94" s="16">
        <v>20.88</v>
      </c>
      <c r="M94" s="16">
        <v>20.79</v>
      </c>
    </row>
    <row r="95" spans="2:13" ht="22.5" outlineLevel="3" x14ac:dyDescent="0.2">
      <c r="B95" s="4" t="str">
        <f t="shared" si="1"/>
        <v>0008290100</v>
      </c>
      <c r="C95" s="5" t="str">
        <f>"131374"</f>
        <v>131374</v>
      </c>
      <c r="D95" s="12" t="s">
        <v>898</v>
      </c>
      <c r="E95" s="14" t="s">
        <v>98</v>
      </c>
      <c r="F95" s="12" t="s">
        <v>19</v>
      </c>
      <c r="G95" s="15">
        <v>100</v>
      </c>
      <c r="H95" s="12" t="s">
        <v>891</v>
      </c>
      <c r="I95" s="12" t="s">
        <v>68</v>
      </c>
      <c r="K95" s="16">
        <v>13.38</v>
      </c>
      <c r="L95" s="16">
        <v>20.88</v>
      </c>
      <c r="M95" s="16">
        <v>20.79</v>
      </c>
    </row>
    <row r="96" spans="2:13" outlineLevel="3" x14ac:dyDescent="0.2">
      <c r="B96" s="4" t="str">
        <f t="shared" si="1"/>
        <v>0008290100</v>
      </c>
      <c r="C96" s="5" t="str">
        <f>"490086"</f>
        <v>490086</v>
      </c>
      <c r="D96" s="12" t="s">
        <v>892</v>
      </c>
      <c r="E96" s="14" t="s">
        <v>98</v>
      </c>
      <c r="F96" s="12" t="s">
        <v>19</v>
      </c>
      <c r="G96" s="15">
        <v>100</v>
      </c>
      <c r="H96" s="12" t="s">
        <v>891</v>
      </c>
      <c r="I96" s="12" t="s">
        <v>893</v>
      </c>
      <c r="K96" s="16">
        <v>13.38</v>
      </c>
      <c r="L96" s="16">
        <v>20.88</v>
      </c>
      <c r="M96" s="16">
        <v>20.79</v>
      </c>
    </row>
    <row r="97" spans="1:13" ht="22.5" outlineLevel="3" x14ac:dyDescent="0.2">
      <c r="B97" s="4" t="str">
        <f t="shared" si="1"/>
        <v>0008290100</v>
      </c>
      <c r="C97" s="5" t="str">
        <f>"502255"</f>
        <v>502255</v>
      </c>
      <c r="D97" s="12" t="s">
        <v>899</v>
      </c>
      <c r="E97" s="14" t="s">
        <v>98</v>
      </c>
      <c r="F97" s="12" t="s">
        <v>19</v>
      </c>
      <c r="G97" s="15" t="s">
        <v>23</v>
      </c>
      <c r="H97" s="12" t="s">
        <v>891</v>
      </c>
      <c r="I97" s="12" t="s">
        <v>298</v>
      </c>
      <c r="K97" s="16">
        <v>13.38</v>
      </c>
      <c r="L97" s="16">
        <v>20.88</v>
      </c>
      <c r="M97" s="16">
        <v>20.79</v>
      </c>
    </row>
    <row r="98" spans="1:13" outlineLevel="3" x14ac:dyDescent="0.2">
      <c r="B98" s="4" t="str">
        <f t="shared" si="1"/>
        <v>0008290100</v>
      </c>
      <c r="C98" s="5" t="str">
        <f>"436686"</f>
        <v>436686</v>
      </c>
      <c r="D98" s="12" t="s">
        <v>894</v>
      </c>
      <c r="E98" s="14" t="s">
        <v>98</v>
      </c>
      <c r="F98" s="12" t="s">
        <v>19</v>
      </c>
      <c r="G98" s="15">
        <v>98</v>
      </c>
      <c r="H98" s="12" t="s">
        <v>891</v>
      </c>
      <c r="I98" s="12" t="s">
        <v>11</v>
      </c>
      <c r="K98" s="16">
        <v>12.31</v>
      </c>
      <c r="L98" s="16">
        <v>19.29</v>
      </c>
      <c r="M98" s="16">
        <v>20.79</v>
      </c>
    </row>
    <row r="99" spans="1:13" outlineLevel="2" x14ac:dyDescent="0.2">
      <c r="A99" s="3" t="s">
        <v>1405</v>
      </c>
    </row>
    <row r="100" spans="1:13" ht="22.5" outlineLevel="3" x14ac:dyDescent="0.2">
      <c r="B100" s="4" t="str">
        <f>"0000120030"</f>
        <v>0000120030</v>
      </c>
      <c r="C100" s="5" t="str">
        <f>"542014"</f>
        <v>542014</v>
      </c>
      <c r="D100" s="12" t="s">
        <v>27</v>
      </c>
      <c r="E100" s="14" t="s">
        <v>25</v>
      </c>
      <c r="F100" s="12" t="s">
        <v>15</v>
      </c>
      <c r="G100" s="15">
        <v>28</v>
      </c>
      <c r="H100" s="12" t="s">
        <v>26</v>
      </c>
      <c r="I100" s="12" t="s">
        <v>28</v>
      </c>
      <c r="K100" s="16">
        <v>6.16</v>
      </c>
      <c r="L100" s="16">
        <v>9.82</v>
      </c>
      <c r="M100" s="16">
        <v>11.21</v>
      </c>
    </row>
    <row r="101" spans="1:13" ht="22.5" outlineLevel="3" x14ac:dyDescent="0.2">
      <c r="B101" s="4" t="str">
        <f>"0000120030"</f>
        <v>0000120030</v>
      </c>
      <c r="C101" s="5" t="str">
        <f>"134928"</f>
        <v>134928</v>
      </c>
      <c r="D101" s="12" t="s">
        <v>24</v>
      </c>
      <c r="E101" s="14" t="s">
        <v>25</v>
      </c>
      <c r="F101" s="12" t="s">
        <v>15</v>
      </c>
      <c r="G101" s="15">
        <v>28</v>
      </c>
      <c r="H101" s="12" t="s">
        <v>26</v>
      </c>
      <c r="I101" s="12" t="s">
        <v>5</v>
      </c>
      <c r="K101" s="16">
        <v>6.09</v>
      </c>
      <c r="L101" s="16">
        <v>9.7100000000000009</v>
      </c>
      <c r="M101" s="16">
        <v>11.21</v>
      </c>
    </row>
    <row r="102" spans="1:13" outlineLevel="2" x14ac:dyDescent="0.2"/>
    <row r="103" spans="1:13" ht="22.5" outlineLevel="3" x14ac:dyDescent="0.2">
      <c r="B103" s="4" t="str">
        <f>"0000120100"</f>
        <v>0000120100</v>
      </c>
      <c r="C103" s="5" t="str">
        <f>"023949"</f>
        <v>023949</v>
      </c>
      <c r="D103" s="12" t="s">
        <v>29</v>
      </c>
      <c r="E103" s="14" t="s">
        <v>25</v>
      </c>
      <c r="F103" s="12" t="s">
        <v>15</v>
      </c>
      <c r="G103" s="15">
        <v>98</v>
      </c>
      <c r="H103" s="12" t="s">
        <v>26</v>
      </c>
      <c r="I103" s="12" t="s">
        <v>30</v>
      </c>
      <c r="K103" s="16">
        <v>12.09</v>
      </c>
      <c r="L103" s="16">
        <v>18.96</v>
      </c>
      <c r="M103" s="16">
        <v>18.97</v>
      </c>
    </row>
    <row r="104" spans="1:13" ht="22.5" outlineLevel="3" x14ac:dyDescent="0.2">
      <c r="B104" s="4" t="str">
        <f>"0000120100"</f>
        <v>0000120100</v>
      </c>
      <c r="C104" s="5" t="str">
        <f>"182559"</f>
        <v>182559</v>
      </c>
      <c r="D104" s="12" t="s">
        <v>27</v>
      </c>
      <c r="E104" s="14" t="s">
        <v>25</v>
      </c>
      <c r="F104" s="12" t="s">
        <v>15</v>
      </c>
      <c r="G104" s="15">
        <v>98</v>
      </c>
      <c r="H104" s="12" t="s">
        <v>26</v>
      </c>
      <c r="I104" s="12" t="s">
        <v>28</v>
      </c>
      <c r="K104" s="16">
        <v>12.09</v>
      </c>
      <c r="L104" s="16">
        <v>18.96</v>
      </c>
      <c r="M104" s="16">
        <v>18.97</v>
      </c>
    </row>
    <row r="105" spans="1:13" ht="22.5" outlineLevel="3" x14ac:dyDescent="0.2">
      <c r="B105" s="4" t="str">
        <f>"0000120100"</f>
        <v>0000120100</v>
      </c>
      <c r="C105" s="5" t="str">
        <f>"134939"</f>
        <v>134939</v>
      </c>
      <c r="D105" s="12" t="s">
        <v>24</v>
      </c>
      <c r="E105" s="14" t="s">
        <v>25</v>
      </c>
      <c r="F105" s="12" t="s">
        <v>15</v>
      </c>
      <c r="G105" s="15">
        <v>100</v>
      </c>
      <c r="H105" s="12" t="s">
        <v>26</v>
      </c>
      <c r="I105" s="12" t="s">
        <v>5</v>
      </c>
      <c r="K105" s="16">
        <v>11.08</v>
      </c>
      <c r="L105" s="16">
        <v>17.47</v>
      </c>
      <c r="M105" s="16">
        <v>18.97</v>
      </c>
    </row>
    <row r="106" spans="1:13" outlineLevel="2" x14ac:dyDescent="0.2"/>
    <row r="107" spans="1:13" ht="22.5" outlineLevel="3" x14ac:dyDescent="0.2">
      <c r="B107" s="4" t="str">
        <f>"0000130014"</f>
        <v>0000130014</v>
      </c>
      <c r="C107" s="5" t="str">
        <f>"164573"</f>
        <v>164573</v>
      </c>
      <c r="D107" s="12" t="s">
        <v>29</v>
      </c>
      <c r="E107" s="14" t="s">
        <v>31</v>
      </c>
      <c r="F107" s="12" t="s">
        <v>15</v>
      </c>
      <c r="G107" s="15">
        <v>14</v>
      </c>
      <c r="H107" s="12" t="s">
        <v>26</v>
      </c>
      <c r="I107" s="12" t="s">
        <v>30</v>
      </c>
      <c r="K107" s="16">
        <v>5.58</v>
      </c>
      <c r="L107" s="16">
        <v>8.9</v>
      </c>
      <c r="M107" s="16">
        <v>10.4</v>
      </c>
    </row>
    <row r="108" spans="1:13" ht="22.5" outlineLevel="3" x14ac:dyDescent="0.2">
      <c r="B108" s="4" t="str">
        <f>"0000130014"</f>
        <v>0000130014</v>
      </c>
      <c r="C108" s="5" t="str">
        <f>"482825"</f>
        <v>482825</v>
      </c>
      <c r="D108" s="12" t="s">
        <v>27</v>
      </c>
      <c r="E108" s="14" t="s">
        <v>31</v>
      </c>
      <c r="F108" s="12" t="s">
        <v>15</v>
      </c>
      <c r="G108" s="15">
        <v>14</v>
      </c>
      <c r="H108" s="12" t="s">
        <v>26</v>
      </c>
      <c r="I108" s="12" t="s">
        <v>28</v>
      </c>
      <c r="K108" s="16">
        <v>5.58</v>
      </c>
      <c r="L108" s="16">
        <v>8.9</v>
      </c>
      <c r="M108" s="16">
        <v>10.4</v>
      </c>
    </row>
    <row r="109" spans="1:13" outlineLevel="2" x14ac:dyDescent="0.2"/>
    <row r="110" spans="1:13" ht="22.5" outlineLevel="3" x14ac:dyDescent="0.2">
      <c r="B110" s="4" t="str">
        <f>"0000130030"</f>
        <v>0000130030</v>
      </c>
      <c r="C110" s="5" t="str">
        <f>"164584"</f>
        <v>164584</v>
      </c>
      <c r="D110" s="12" t="s">
        <v>29</v>
      </c>
      <c r="E110" s="14" t="s">
        <v>31</v>
      </c>
      <c r="F110" s="12" t="s">
        <v>15</v>
      </c>
      <c r="G110" s="15">
        <v>28</v>
      </c>
      <c r="H110" s="12" t="s">
        <v>26</v>
      </c>
      <c r="I110" s="12" t="s">
        <v>30</v>
      </c>
      <c r="K110" s="16">
        <v>6.65</v>
      </c>
      <c r="L110" s="16">
        <v>10.6</v>
      </c>
      <c r="M110" s="16">
        <v>10.6</v>
      </c>
    </row>
    <row r="111" spans="1:13" ht="22.5" outlineLevel="3" x14ac:dyDescent="0.2">
      <c r="B111" s="4" t="str">
        <f>"0000130030"</f>
        <v>0000130030</v>
      </c>
      <c r="C111" s="5" t="str">
        <f>"434643"</f>
        <v>434643</v>
      </c>
      <c r="D111" s="12" t="s">
        <v>27</v>
      </c>
      <c r="E111" s="14" t="s">
        <v>31</v>
      </c>
      <c r="F111" s="12" t="s">
        <v>15</v>
      </c>
      <c r="G111" s="15">
        <v>28</v>
      </c>
      <c r="H111" s="12" t="s">
        <v>26</v>
      </c>
      <c r="I111" s="12" t="s">
        <v>28</v>
      </c>
      <c r="K111" s="16">
        <v>6.65</v>
      </c>
      <c r="L111" s="16">
        <v>10.6</v>
      </c>
      <c r="M111" s="16">
        <v>10.6</v>
      </c>
    </row>
    <row r="112" spans="1:13" ht="22.5" outlineLevel="3" x14ac:dyDescent="0.2">
      <c r="B112" s="4" t="str">
        <f>"0000130030"</f>
        <v>0000130030</v>
      </c>
      <c r="C112" s="5" t="str">
        <f>"134884"</f>
        <v>134884</v>
      </c>
      <c r="D112" s="12" t="s">
        <v>24</v>
      </c>
      <c r="E112" s="14" t="s">
        <v>31</v>
      </c>
      <c r="F112" s="12" t="s">
        <v>15</v>
      </c>
      <c r="G112" s="15">
        <v>28</v>
      </c>
      <c r="H112" s="12" t="s">
        <v>26</v>
      </c>
      <c r="I112" s="12" t="s">
        <v>5</v>
      </c>
      <c r="K112" s="16">
        <v>5.7</v>
      </c>
      <c r="L112" s="16">
        <v>9.1</v>
      </c>
      <c r="M112" s="16">
        <v>10.6</v>
      </c>
    </row>
    <row r="113" spans="1:13" outlineLevel="2" x14ac:dyDescent="0.2"/>
    <row r="114" spans="1:13" ht="22.5" outlineLevel="3" x14ac:dyDescent="0.2">
      <c r="B114" s="4" t="str">
        <f>"0000130056"</f>
        <v>0000130056</v>
      </c>
      <c r="C114" s="5" t="str">
        <f>"517488"</f>
        <v>517488</v>
      </c>
      <c r="D114" s="12" t="s">
        <v>27</v>
      </c>
      <c r="E114" s="14" t="s">
        <v>31</v>
      </c>
      <c r="F114" s="12" t="s">
        <v>15</v>
      </c>
      <c r="G114" s="15">
        <v>56</v>
      </c>
      <c r="H114" s="12" t="s">
        <v>26</v>
      </c>
      <c r="I114" s="12" t="s">
        <v>28</v>
      </c>
      <c r="K114" s="16">
        <v>16.72</v>
      </c>
      <c r="L114" s="16">
        <v>25.84</v>
      </c>
      <c r="M114" s="16">
        <v>25.85</v>
      </c>
    </row>
    <row r="115" spans="1:13" ht="22.5" outlineLevel="3" x14ac:dyDescent="0.2">
      <c r="B115" s="4" t="str">
        <f>"0000130056"</f>
        <v>0000130056</v>
      </c>
      <c r="C115" s="5" t="str">
        <f>"134895"</f>
        <v>134895</v>
      </c>
      <c r="D115" s="12" t="s">
        <v>24</v>
      </c>
      <c r="E115" s="14" t="s">
        <v>31</v>
      </c>
      <c r="F115" s="12" t="s">
        <v>15</v>
      </c>
      <c r="G115" s="15">
        <v>56</v>
      </c>
      <c r="H115" s="12" t="s">
        <v>26</v>
      </c>
      <c r="I115" s="12" t="s">
        <v>5</v>
      </c>
      <c r="K115" s="16">
        <v>15.72</v>
      </c>
      <c r="L115" s="16">
        <v>24.35</v>
      </c>
      <c r="M115" s="16">
        <v>25.85</v>
      </c>
    </row>
    <row r="116" spans="1:13" outlineLevel="2" x14ac:dyDescent="0.2"/>
    <row r="117" spans="1:13" ht="22.5" outlineLevel="3" x14ac:dyDescent="0.2">
      <c r="B117" s="4" t="str">
        <f>"0000130100"</f>
        <v>0000130100</v>
      </c>
      <c r="C117" s="5" t="str">
        <f>"023993"</f>
        <v>023993</v>
      </c>
      <c r="D117" s="12" t="s">
        <v>29</v>
      </c>
      <c r="E117" s="14" t="s">
        <v>31</v>
      </c>
      <c r="F117" s="12" t="s">
        <v>15</v>
      </c>
      <c r="G117" s="15">
        <v>98</v>
      </c>
      <c r="H117" s="12" t="s">
        <v>26</v>
      </c>
      <c r="I117" s="12" t="s">
        <v>30</v>
      </c>
      <c r="K117" s="16">
        <v>21.35</v>
      </c>
      <c r="L117" s="16">
        <v>32.71</v>
      </c>
      <c r="M117" s="16">
        <v>34.21</v>
      </c>
    </row>
    <row r="118" spans="1:13" ht="22.5" outlineLevel="3" x14ac:dyDescent="0.2">
      <c r="B118" s="4" t="str">
        <f>"0000130100"</f>
        <v>0000130100</v>
      </c>
      <c r="C118" s="5" t="str">
        <f>"134906"</f>
        <v>134906</v>
      </c>
      <c r="D118" s="12" t="s">
        <v>24</v>
      </c>
      <c r="E118" s="14" t="s">
        <v>31</v>
      </c>
      <c r="F118" s="12" t="s">
        <v>15</v>
      </c>
      <c r="G118" s="15">
        <v>100</v>
      </c>
      <c r="H118" s="12" t="s">
        <v>26</v>
      </c>
      <c r="I118" s="12" t="s">
        <v>5</v>
      </c>
      <c r="K118" s="16">
        <v>21.35</v>
      </c>
      <c r="L118" s="16">
        <v>32.71</v>
      </c>
      <c r="M118" s="16">
        <v>34.21</v>
      </c>
    </row>
    <row r="119" spans="1:13" ht="22.5" outlineLevel="3" x14ac:dyDescent="0.2">
      <c r="B119" s="4" t="str">
        <f>"0000130100"</f>
        <v>0000130100</v>
      </c>
      <c r="C119" s="5" t="str">
        <f>"481467"</f>
        <v>481467</v>
      </c>
      <c r="D119" s="12" t="s">
        <v>27</v>
      </c>
      <c r="E119" s="14" t="s">
        <v>31</v>
      </c>
      <c r="F119" s="12" t="s">
        <v>15</v>
      </c>
      <c r="G119" s="15">
        <v>98</v>
      </c>
      <c r="H119" s="12" t="s">
        <v>26</v>
      </c>
      <c r="I119" s="12" t="s">
        <v>28</v>
      </c>
      <c r="K119" s="16">
        <v>21.35</v>
      </c>
      <c r="L119" s="16">
        <v>32.71</v>
      </c>
      <c r="M119" s="16">
        <v>34.21</v>
      </c>
    </row>
    <row r="120" spans="1:13" outlineLevel="1" x14ac:dyDescent="0.2">
      <c r="A120" s="3"/>
    </row>
    <row r="121" spans="1:13" outlineLevel="2" x14ac:dyDescent="0.2">
      <c r="A121" s="3" t="s">
        <v>1406</v>
      </c>
    </row>
    <row r="122" spans="1:13" outlineLevel="3" x14ac:dyDescent="0.2">
      <c r="B122" s="4" t="str">
        <f>"0013170030"</f>
        <v>0013170030</v>
      </c>
      <c r="C122" s="5" t="str">
        <f>"155410"</f>
        <v>155410</v>
      </c>
      <c r="D122" s="12" t="s">
        <v>1235</v>
      </c>
      <c r="E122" s="14" t="s">
        <v>82</v>
      </c>
      <c r="F122" s="12" t="s">
        <v>19</v>
      </c>
      <c r="G122" s="15">
        <v>28</v>
      </c>
      <c r="H122" s="12" t="s">
        <v>1236</v>
      </c>
      <c r="I122" s="12" t="s">
        <v>30</v>
      </c>
      <c r="K122" s="16">
        <v>4.91</v>
      </c>
      <c r="L122" s="16">
        <v>7.83</v>
      </c>
      <c r="M122" s="16">
        <v>9.33</v>
      </c>
    </row>
    <row r="123" spans="1:13" outlineLevel="3" x14ac:dyDescent="0.2">
      <c r="B123" s="4" t="str">
        <f>"0013170030"</f>
        <v>0013170030</v>
      </c>
      <c r="C123" s="5" t="str">
        <f>"551846"</f>
        <v>551846</v>
      </c>
      <c r="D123" s="12" t="s">
        <v>1237</v>
      </c>
      <c r="E123" s="14" t="s">
        <v>82</v>
      </c>
      <c r="F123" s="12" t="s">
        <v>19</v>
      </c>
      <c r="G123" s="15">
        <v>28</v>
      </c>
      <c r="H123" s="12" t="s">
        <v>1236</v>
      </c>
      <c r="I123" s="12" t="s">
        <v>1238</v>
      </c>
      <c r="K123" s="16">
        <v>4.91</v>
      </c>
      <c r="L123" s="16">
        <v>7.83</v>
      </c>
      <c r="M123" s="16">
        <v>9.33</v>
      </c>
    </row>
    <row r="124" spans="1:13" outlineLevel="2" x14ac:dyDescent="0.2"/>
    <row r="125" spans="1:13" outlineLevel="3" x14ac:dyDescent="0.2">
      <c r="B125" s="4" t="str">
        <f>"0013170056"</f>
        <v>0013170056</v>
      </c>
      <c r="C125" s="5" t="str">
        <f>"483477"</f>
        <v>483477</v>
      </c>
      <c r="D125" s="12" t="s">
        <v>1235</v>
      </c>
      <c r="E125" s="14" t="s">
        <v>82</v>
      </c>
      <c r="F125" s="12" t="s">
        <v>19</v>
      </c>
      <c r="G125" s="15">
        <v>56</v>
      </c>
      <c r="H125" s="12" t="s">
        <v>1236</v>
      </c>
      <c r="I125" s="12" t="s">
        <v>30</v>
      </c>
      <c r="K125" s="16">
        <v>9.94</v>
      </c>
      <c r="L125" s="16">
        <v>15.77</v>
      </c>
      <c r="M125" s="16">
        <v>17.27</v>
      </c>
    </row>
    <row r="126" spans="1:13" outlineLevel="3" x14ac:dyDescent="0.2">
      <c r="B126" s="4" t="str">
        <f>"0013170056"</f>
        <v>0013170056</v>
      </c>
      <c r="C126" s="5" t="str">
        <f>"551853"</f>
        <v>551853</v>
      </c>
      <c r="D126" s="12" t="s">
        <v>1237</v>
      </c>
      <c r="E126" s="14" t="s">
        <v>82</v>
      </c>
      <c r="F126" s="12" t="s">
        <v>19</v>
      </c>
      <c r="G126" s="15">
        <v>56</v>
      </c>
      <c r="H126" s="12" t="s">
        <v>1236</v>
      </c>
      <c r="I126" s="12" t="s">
        <v>1238</v>
      </c>
      <c r="K126" s="16">
        <v>9.94</v>
      </c>
      <c r="L126" s="16">
        <v>15.77</v>
      </c>
      <c r="M126" s="16">
        <v>17.27</v>
      </c>
    </row>
    <row r="127" spans="1:13" outlineLevel="2" x14ac:dyDescent="0.2"/>
    <row r="128" spans="1:13" outlineLevel="3" x14ac:dyDescent="0.2">
      <c r="B128" s="4" t="str">
        <f>"0013180014"</f>
        <v>0013180014</v>
      </c>
      <c r="C128" s="5" t="str">
        <f>"154860"</f>
        <v>154860</v>
      </c>
      <c r="D128" s="12" t="s">
        <v>1235</v>
      </c>
      <c r="E128" s="14" t="s">
        <v>14</v>
      </c>
      <c r="F128" s="12" t="s">
        <v>19</v>
      </c>
      <c r="G128" s="15">
        <v>14</v>
      </c>
      <c r="H128" s="12" t="s">
        <v>1236</v>
      </c>
      <c r="I128" s="12" t="s">
        <v>30</v>
      </c>
      <c r="K128" s="16">
        <v>4.01</v>
      </c>
      <c r="L128" s="16">
        <v>6.39</v>
      </c>
      <c r="M128" s="16">
        <v>7.89</v>
      </c>
    </row>
    <row r="129" spans="1:13" outlineLevel="3" x14ac:dyDescent="0.2">
      <c r="B129" s="4" t="str">
        <f>"0013180014"</f>
        <v>0013180014</v>
      </c>
      <c r="C129" s="5" t="str">
        <f>"551879"</f>
        <v>551879</v>
      </c>
      <c r="D129" s="12" t="s">
        <v>1237</v>
      </c>
      <c r="E129" s="14" t="s">
        <v>14</v>
      </c>
      <c r="F129" s="12" t="s">
        <v>19</v>
      </c>
      <c r="G129" s="15">
        <v>14</v>
      </c>
      <c r="H129" s="12" t="s">
        <v>1236</v>
      </c>
      <c r="I129" s="12" t="s">
        <v>1238</v>
      </c>
      <c r="K129" s="16">
        <v>4.01</v>
      </c>
      <c r="L129" s="16">
        <v>6.39</v>
      </c>
      <c r="M129" s="16">
        <v>7.89</v>
      </c>
    </row>
    <row r="130" spans="1:13" outlineLevel="2" x14ac:dyDescent="0.2"/>
    <row r="131" spans="1:13" outlineLevel="3" x14ac:dyDescent="0.2">
      <c r="B131" s="4" t="str">
        <f>"0013180030"</f>
        <v>0013180030</v>
      </c>
      <c r="C131" s="5" t="str">
        <f>"129024"</f>
        <v>129024</v>
      </c>
      <c r="D131" s="12" t="s">
        <v>1235</v>
      </c>
      <c r="E131" s="14" t="s">
        <v>14</v>
      </c>
      <c r="F131" s="12" t="s">
        <v>19</v>
      </c>
      <c r="G131" s="15">
        <v>28</v>
      </c>
      <c r="H131" s="12" t="s">
        <v>1236</v>
      </c>
      <c r="I131" s="12" t="s">
        <v>30</v>
      </c>
      <c r="K131" s="16">
        <v>7.6</v>
      </c>
      <c r="L131" s="16">
        <v>12.12</v>
      </c>
      <c r="M131" s="16">
        <v>13.62</v>
      </c>
    </row>
    <row r="132" spans="1:13" outlineLevel="3" x14ac:dyDescent="0.2">
      <c r="B132" s="4" t="str">
        <f>"0013180030"</f>
        <v>0013180030</v>
      </c>
      <c r="C132" s="5" t="str">
        <f>"551929"</f>
        <v>551929</v>
      </c>
      <c r="D132" s="12" t="s">
        <v>1237</v>
      </c>
      <c r="E132" s="14" t="s">
        <v>14</v>
      </c>
      <c r="F132" s="12" t="s">
        <v>19</v>
      </c>
      <c r="G132" s="15">
        <v>28</v>
      </c>
      <c r="H132" s="12" t="s">
        <v>1236</v>
      </c>
      <c r="I132" s="12" t="s">
        <v>1238</v>
      </c>
      <c r="K132" s="16">
        <v>7.6</v>
      </c>
      <c r="L132" s="16">
        <v>12.12</v>
      </c>
      <c r="M132" s="16">
        <v>13.62</v>
      </c>
    </row>
    <row r="133" spans="1:13" outlineLevel="2" x14ac:dyDescent="0.2"/>
    <row r="134" spans="1:13" outlineLevel="3" x14ac:dyDescent="0.2">
      <c r="B134" s="4" t="str">
        <f>"0013180056"</f>
        <v>0013180056</v>
      </c>
      <c r="C134" s="5" t="str">
        <f>"551937"</f>
        <v>551937</v>
      </c>
      <c r="D134" s="12" t="s">
        <v>1237</v>
      </c>
      <c r="E134" s="14" t="s">
        <v>14</v>
      </c>
      <c r="F134" s="12" t="s">
        <v>19</v>
      </c>
      <c r="G134" s="15">
        <v>56</v>
      </c>
      <c r="H134" s="12" t="s">
        <v>1236</v>
      </c>
      <c r="I134" s="12" t="s">
        <v>1238</v>
      </c>
      <c r="K134" s="16">
        <v>14.99</v>
      </c>
      <c r="L134" s="16">
        <v>23.28</v>
      </c>
      <c r="M134" s="16">
        <v>21.44</v>
      </c>
    </row>
    <row r="135" spans="1:13" outlineLevel="3" x14ac:dyDescent="0.2">
      <c r="B135" s="4" t="str">
        <f>"0013180056"</f>
        <v>0013180056</v>
      </c>
      <c r="C135" s="5" t="str">
        <f>"452594"</f>
        <v>452594</v>
      </c>
      <c r="D135" s="12" t="s">
        <v>1235</v>
      </c>
      <c r="E135" s="14" t="s">
        <v>14</v>
      </c>
      <c r="F135" s="12" t="s">
        <v>19</v>
      </c>
      <c r="G135" s="15">
        <v>56</v>
      </c>
      <c r="H135" s="12" t="s">
        <v>1236</v>
      </c>
      <c r="I135" s="12" t="s">
        <v>30</v>
      </c>
      <c r="K135" s="16">
        <v>12.75</v>
      </c>
      <c r="L135" s="16">
        <v>19.940000000000001</v>
      </c>
      <c r="M135" s="16">
        <v>21.44</v>
      </c>
    </row>
    <row r="136" spans="1:13" outlineLevel="2" x14ac:dyDescent="0.2"/>
    <row r="137" spans="1:13" outlineLevel="3" x14ac:dyDescent="0.2">
      <c r="B137" s="4" t="str">
        <f>"0013180100"</f>
        <v>0013180100</v>
      </c>
      <c r="C137" s="5" t="str">
        <f>"434576"</f>
        <v>434576</v>
      </c>
      <c r="D137" s="12" t="s">
        <v>1235</v>
      </c>
      <c r="E137" s="14" t="s">
        <v>14</v>
      </c>
      <c r="F137" s="12" t="s">
        <v>19</v>
      </c>
      <c r="G137" s="15">
        <v>98</v>
      </c>
      <c r="H137" s="12" t="s">
        <v>1236</v>
      </c>
      <c r="I137" s="12" t="s">
        <v>30</v>
      </c>
      <c r="K137" s="16">
        <v>25.45</v>
      </c>
      <c r="L137" s="16">
        <v>38.81</v>
      </c>
      <c r="M137" s="16">
        <v>40.31</v>
      </c>
    </row>
    <row r="138" spans="1:13" outlineLevel="3" x14ac:dyDescent="0.2">
      <c r="B138" s="4" t="str">
        <f>"0013180100"</f>
        <v>0013180100</v>
      </c>
      <c r="C138" s="5" t="str">
        <f>"524276"</f>
        <v>524276</v>
      </c>
      <c r="D138" s="12" t="s">
        <v>1237</v>
      </c>
      <c r="E138" s="14" t="s">
        <v>14</v>
      </c>
      <c r="F138" s="12" t="s">
        <v>19</v>
      </c>
      <c r="G138" s="15">
        <v>98</v>
      </c>
      <c r="H138" s="12" t="s">
        <v>1236</v>
      </c>
      <c r="I138" s="12" t="s">
        <v>1238</v>
      </c>
      <c r="K138" s="16">
        <v>25.45</v>
      </c>
      <c r="L138" s="16">
        <v>38.81</v>
      </c>
      <c r="M138" s="16">
        <v>40.31</v>
      </c>
    </row>
    <row r="139" spans="1:13" outlineLevel="1" x14ac:dyDescent="0.2">
      <c r="A139" s="3"/>
    </row>
    <row r="140" spans="1:13" outlineLevel="2" x14ac:dyDescent="0.2">
      <c r="A140" s="3" t="s">
        <v>1407</v>
      </c>
    </row>
    <row r="141" spans="1:13" outlineLevel="3" x14ac:dyDescent="0.2">
      <c r="B141" s="4" t="str">
        <f t="shared" ref="B141:B146" si="2">"0005580014"</f>
        <v>0005580014</v>
      </c>
      <c r="C141" s="5" t="str">
        <f>"000353"</f>
        <v>000353</v>
      </c>
      <c r="D141" s="12" t="s">
        <v>667</v>
      </c>
      <c r="E141" s="14" t="s">
        <v>14</v>
      </c>
      <c r="F141" s="12" t="s">
        <v>19</v>
      </c>
      <c r="G141" s="15">
        <v>14</v>
      </c>
      <c r="H141" s="12" t="s">
        <v>668</v>
      </c>
      <c r="I141" s="12" t="s">
        <v>22</v>
      </c>
      <c r="J141" s="2" t="s">
        <v>1400</v>
      </c>
      <c r="K141" s="16">
        <v>5.39</v>
      </c>
      <c r="L141" s="16">
        <v>8.6</v>
      </c>
      <c r="M141" s="16">
        <v>6.65</v>
      </c>
    </row>
    <row r="142" spans="1:13" ht="22.5" outlineLevel="3" x14ac:dyDescent="0.2">
      <c r="B142" s="4" t="str">
        <f t="shared" si="2"/>
        <v>0005580014</v>
      </c>
      <c r="C142" s="5" t="str">
        <f>"390688"</f>
        <v>390688</v>
      </c>
      <c r="D142" s="12" t="s">
        <v>669</v>
      </c>
      <c r="E142" s="14" t="s">
        <v>14</v>
      </c>
      <c r="F142" s="12" t="s">
        <v>15</v>
      </c>
      <c r="G142" s="15">
        <v>14</v>
      </c>
      <c r="H142" s="12" t="s">
        <v>668</v>
      </c>
      <c r="I142" s="12" t="s">
        <v>5</v>
      </c>
      <c r="J142" s="2" t="s">
        <v>1400</v>
      </c>
      <c r="K142" s="16">
        <v>4.16</v>
      </c>
      <c r="L142" s="16">
        <v>6.63</v>
      </c>
      <c r="M142" s="16">
        <v>6.65</v>
      </c>
    </row>
    <row r="143" spans="1:13" ht="22.5" outlineLevel="3" x14ac:dyDescent="0.2">
      <c r="B143" s="4" t="str">
        <f t="shared" si="2"/>
        <v>0005580014</v>
      </c>
      <c r="C143" s="5" t="str">
        <f>"382956"</f>
        <v>382956</v>
      </c>
      <c r="D143" s="12" t="s">
        <v>670</v>
      </c>
      <c r="E143" s="14" t="s">
        <v>14</v>
      </c>
      <c r="F143" s="12" t="s">
        <v>19</v>
      </c>
      <c r="G143" s="15">
        <v>14</v>
      </c>
      <c r="H143" s="12" t="s">
        <v>668</v>
      </c>
      <c r="I143" s="12" t="s">
        <v>68</v>
      </c>
      <c r="J143" s="2" t="s">
        <v>1400</v>
      </c>
      <c r="K143" s="16">
        <v>4.16</v>
      </c>
      <c r="L143" s="16">
        <v>6.63</v>
      </c>
      <c r="M143" s="16">
        <v>6.65</v>
      </c>
    </row>
    <row r="144" spans="1:13" outlineLevel="3" x14ac:dyDescent="0.2">
      <c r="B144" s="4" t="str">
        <f t="shared" si="2"/>
        <v>0005580014</v>
      </c>
      <c r="C144" s="5" t="str">
        <f>"030666"</f>
        <v>030666</v>
      </c>
      <c r="D144" s="12" t="s">
        <v>671</v>
      </c>
      <c r="E144" s="14" t="s">
        <v>14</v>
      </c>
      <c r="F144" s="12" t="s">
        <v>19</v>
      </c>
      <c r="G144" s="15">
        <v>14</v>
      </c>
      <c r="H144" s="12" t="s">
        <v>668</v>
      </c>
      <c r="I144" s="12" t="s">
        <v>70</v>
      </c>
      <c r="K144" s="16">
        <v>4.16</v>
      </c>
      <c r="L144" s="16">
        <v>6.63</v>
      </c>
      <c r="M144" s="16">
        <v>6.65</v>
      </c>
    </row>
    <row r="145" spans="2:13" ht="22.5" outlineLevel="3" x14ac:dyDescent="0.2">
      <c r="B145" s="4" t="str">
        <f t="shared" si="2"/>
        <v>0005580014</v>
      </c>
      <c r="C145" s="5" t="str">
        <f>"044210"</f>
        <v>044210</v>
      </c>
      <c r="D145" s="12" t="s">
        <v>672</v>
      </c>
      <c r="E145" s="14" t="s">
        <v>14</v>
      </c>
      <c r="F145" s="12" t="s">
        <v>19</v>
      </c>
      <c r="G145" s="15">
        <v>14</v>
      </c>
      <c r="H145" s="12" t="s">
        <v>668</v>
      </c>
      <c r="I145" s="12" t="s">
        <v>663</v>
      </c>
      <c r="K145" s="16">
        <v>4.16</v>
      </c>
      <c r="L145" s="16">
        <v>6.63</v>
      </c>
      <c r="M145" s="16">
        <v>6.65</v>
      </c>
    </row>
    <row r="146" spans="2:13" ht="22.5" outlineLevel="3" x14ac:dyDescent="0.2">
      <c r="B146" s="4" t="str">
        <f t="shared" si="2"/>
        <v>0005580014</v>
      </c>
      <c r="C146" s="5" t="str">
        <f>"092176"</f>
        <v>092176</v>
      </c>
      <c r="D146" s="12" t="s">
        <v>673</v>
      </c>
      <c r="E146" s="14" t="s">
        <v>14</v>
      </c>
      <c r="F146" s="12" t="s">
        <v>15</v>
      </c>
      <c r="G146" s="15">
        <v>14</v>
      </c>
      <c r="H146" s="12" t="s">
        <v>668</v>
      </c>
      <c r="I146" s="12" t="s">
        <v>30</v>
      </c>
      <c r="K146" s="16">
        <v>3.23</v>
      </c>
      <c r="L146" s="16">
        <v>5.15</v>
      </c>
      <c r="M146" s="16">
        <v>6.65</v>
      </c>
    </row>
    <row r="147" spans="2:13" outlineLevel="2" x14ac:dyDescent="0.2"/>
    <row r="148" spans="2:13" outlineLevel="3" x14ac:dyDescent="0.2">
      <c r="B148" s="4" t="str">
        <f t="shared" ref="B148:B153" si="3">"0005580030"</f>
        <v>0005580030</v>
      </c>
      <c r="C148" s="5" t="str">
        <f>"000357"</f>
        <v>000357</v>
      </c>
      <c r="D148" s="12" t="s">
        <v>667</v>
      </c>
      <c r="E148" s="14" t="s">
        <v>14</v>
      </c>
      <c r="F148" s="12" t="s">
        <v>19</v>
      </c>
      <c r="G148" s="15">
        <v>28</v>
      </c>
      <c r="H148" s="12" t="s">
        <v>668</v>
      </c>
      <c r="I148" s="12" t="s">
        <v>22</v>
      </c>
      <c r="K148" s="16">
        <v>10.78</v>
      </c>
      <c r="L148" s="16">
        <v>17.02</v>
      </c>
      <c r="M148" s="16">
        <v>11.82</v>
      </c>
    </row>
    <row r="149" spans="2:13" outlineLevel="3" x14ac:dyDescent="0.2">
      <c r="B149" s="4" t="str">
        <f t="shared" si="3"/>
        <v>0005580030</v>
      </c>
      <c r="C149" s="5" t="str">
        <f>"030710"</f>
        <v>030710</v>
      </c>
      <c r="D149" s="12" t="s">
        <v>671</v>
      </c>
      <c r="E149" s="14" t="s">
        <v>14</v>
      </c>
      <c r="F149" s="12" t="s">
        <v>19</v>
      </c>
      <c r="G149" s="15">
        <v>28</v>
      </c>
      <c r="H149" s="12" t="s">
        <v>668</v>
      </c>
      <c r="I149" s="12" t="s">
        <v>70</v>
      </c>
      <c r="K149" s="16">
        <v>7.41</v>
      </c>
      <c r="L149" s="16">
        <v>11.81</v>
      </c>
      <c r="M149" s="16">
        <v>11.82</v>
      </c>
    </row>
    <row r="150" spans="2:13" ht="22.5" outlineLevel="3" x14ac:dyDescent="0.2">
      <c r="B150" s="4" t="str">
        <f t="shared" si="3"/>
        <v>0005580030</v>
      </c>
      <c r="C150" s="5" t="str">
        <f>"517632"</f>
        <v>517632</v>
      </c>
      <c r="D150" s="12" t="s">
        <v>669</v>
      </c>
      <c r="E150" s="14" t="s">
        <v>14</v>
      </c>
      <c r="F150" s="12" t="s">
        <v>15</v>
      </c>
      <c r="G150" s="15">
        <v>28</v>
      </c>
      <c r="H150" s="12" t="s">
        <v>668</v>
      </c>
      <c r="I150" s="12" t="s">
        <v>5</v>
      </c>
      <c r="K150" s="16">
        <v>7.41</v>
      </c>
      <c r="L150" s="16">
        <v>11.81</v>
      </c>
      <c r="M150" s="16">
        <v>11.82</v>
      </c>
    </row>
    <row r="151" spans="2:13" ht="22.5" outlineLevel="3" x14ac:dyDescent="0.2">
      <c r="B151" s="4" t="str">
        <f t="shared" si="3"/>
        <v>0005580030</v>
      </c>
      <c r="C151" s="5" t="str">
        <f>"537344"</f>
        <v>537344</v>
      </c>
      <c r="D151" s="12" t="s">
        <v>670</v>
      </c>
      <c r="E151" s="14" t="s">
        <v>14</v>
      </c>
      <c r="F151" s="12" t="s">
        <v>19</v>
      </c>
      <c r="G151" s="15">
        <v>28</v>
      </c>
      <c r="H151" s="12" t="s">
        <v>668</v>
      </c>
      <c r="I151" s="12" t="s">
        <v>68</v>
      </c>
      <c r="K151" s="16">
        <v>7.41</v>
      </c>
      <c r="L151" s="16">
        <v>11.81</v>
      </c>
      <c r="M151" s="16">
        <v>11.82</v>
      </c>
    </row>
    <row r="152" spans="2:13" ht="22.5" outlineLevel="3" x14ac:dyDescent="0.2">
      <c r="B152" s="4" t="str">
        <f t="shared" si="3"/>
        <v>0005580030</v>
      </c>
      <c r="C152" s="5" t="str">
        <f>"591465"</f>
        <v>591465</v>
      </c>
      <c r="D152" s="12" t="s">
        <v>672</v>
      </c>
      <c r="E152" s="14" t="s">
        <v>14</v>
      </c>
      <c r="F152" s="12" t="s">
        <v>19</v>
      </c>
      <c r="G152" s="15">
        <v>28</v>
      </c>
      <c r="H152" s="12" t="s">
        <v>668</v>
      </c>
      <c r="I152" s="12" t="s">
        <v>663</v>
      </c>
      <c r="K152" s="16">
        <v>7.41</v>
      </c>
      <c r="L152" s="16">
        <v>11.81</v>
      </c>
      <c r="M152" s="16">
        <v>11.82</v>
      </c>
    </row>
    <row r="153" spans="2:13" ht="22.5" outlineLevel="3" x14ac:dyDescent="0.2">
      <c r="B153" s="4" t="str">
        <f t="shared" si="3"/>
        <v>0005580030</v>
      </c>
      <c r="C153" s="5" t="str">
        <f>"092188"</f>
        <v>092188</v>
      </c>
      <c r="D153" s="12" t="s">
        <v>673</v>
      </c>
      <c r="E153" s="14" t="s">
        <v>14</v>
      </c>
      <c r="F153" s="12" t="s">
        <v>15</v>
      </c>
      <c r="G153" s="15">
        <v>28</v>
      </c>
      <c r="H153" s="12" t="s">
        <v>668</v>
      </c>
      <c r="I153" s="12" t="s">
        <v>30</v>
      </c>
      <c r="K153" s="16">
        <v>6.47</v>
      </c>
      <c r="L153" s="16">
        <v>10.32</v>
      </c>
      <c r="M153" s="16">
        <v>11.82</v>
      </c>
    </row>
    <row r="154" spans="2:13" outlineLevel="3" x14ac:dyDescent="0.2">
      <c r="B154" s="4" t="str">
        <f t="shared" ref="B154:B159" si="4">"0005580056"</f>
        <v>0005580056</v>
      </c>
      <c r="C154" s="5" t="str">
        <f>"000362"</f>
        <v>000362</v>
      </c>
      <c r="D154" s="12" t="s">
        <v>667</v>
      </c>
      <c r="E154" s="14" t="s">
        <v>14</v>
      </c>
      <c r="F154" s="12" t="s">
        <v>19</v>
      </c>
      <c r="G154" s="15">
        <v>56</v>
      </c>
      <c r="H154" s="12" t="s">
        <v>668</v>
      </c>
      <c r="I154" s="12" t="s">
        <v>22</v>
      </c>
      <c r="K154" s="16">
        <v>20.74</v>
      </c>
      <c r="L154" s="16">
        <v>31.81</v>
      </c>
      <c r="M154" s="16">
        <v>21.94</v>
      </c>
    </row>
    <row r="155" spans="2:13" ht="22.5" outlineLevel="3" x14ac:dyDescent="0.2">
      <c r="B155" s="4" t="str">
        <f t="shared" si="4"/>
        <v>0005580056</v>
      </c>
      <c r="C155" s="5" t="str">
        <f>"167491"</f>
        <v>167491</v>
      </c>
      <c r="D155" s="12" t="s">
        <v>670</v>
      </c>
      <c r="E155" s="14" t="s">
        <v>14</v>
      </c>
      <c r="F155" s="12" t="s">
        <v>19</v>
      </c>
      <c r="G155" s="15">
        <v>56</v>
      </c>
      <c r="H155" s="12" t="s">
        <v>668</v>
      </c>
      <c r="I155" s="12" t="s">
        <v>68</v>
      </c>
      <c r="J155" s="2" t="s">
        <v>1400</v>
      </c>
      <c r="K155" s="16">
        <v>14.09</v>
      </c>
      <c r="L155" s="16">
        <v>21.93</v>
      </c>
      <c r="M155" s="16">
        <v>21.94</v>
      </c>
    </row>
    <row r="156" spans="2:13" outlineLevel="3" x14ac:dyDescent="0.2">
      <c r="B156" s="4" t="str">
        <f t="shared" si="4"/>
        <v>0005580056</v>
      </c>
      <c r="C156" s="5" t="str">
        <f>"030721"</f>
        <v>030721</v>
      </c>
      <c r="D156" s="12" t="s">
        <v>671</v>
      </c>
      <c r="E156" s="14" t="s">
        <v>14</v>
      </c>
      <c r="F156" s="12" t="s">
        <v>19</v>
      </c>
      <c r="G156" s="15">
        <v>56</v>
      </c>
      <c r="H156" s="12" t="s">
        <v>668</v>
      </c>
      <c r="I156" s="12" t="s">
        <v>70</v>
      </c>
      <c r="K156" s="16">
        <v>14.09</v>
      </c>
      <c r="L156" s="16">
        <v>21.93</v>
      </c>
      <c r="M156" s="16">
        <v>21.94</v>
      </c>
    </row>
    <row r="157" spans="2:13" ht="22.5" outlineLevel="3" x14ac:dyDescent="0.2">
      <c r="B157" s="4" t="str">
        <f t="shared" si="4"/>
        <v>0005580056</v>
      </c>
      <c r="C157" s="5" t="str">
        <f>"139739"</f>
        <v>139739</v>
      </c>
      <c r="D157" s="12" t="s">
        <v>669</v>
      </c>
      <c r="E157" s="14" t="s">
        <v>14</v>
      </c>
      <c r="F157" s="12" t="s">
        <v>15</v>
      </c>
      <c r="G157" s="15">
        <v>56</v>
      </c>
      <c r="H157" s="12" t="s">
        <v>668</v>
      </c>
      <c r="I157" s="12" t="s">
        <v>5</v>
      </c>
      <c r="K157" s="16">
        <v>14.09</v>
      </c>
      <c r="L157" s="16">
        <v>21.93</v>
      </c>
      <c r="M157" s="16">
        <v>21.94</v>
      </c>
    </row>
    <row r="158" spans="2:13" ht="22.5" outlineLevel="3" x14ac:dyDescent="0.2">
      <c r="B158" s="4" t="str">
        <f t="shared" si="4"/>
        <v>0005580056</v>
      </c>
      <c r="C158" s="5" t="str">
        <f>"390918"</f>
        <v>390918</v>
      </c>
      <c r="D158" s="12" t="s">
        <v>672</v>
      </c>
      <c r="E158" s="14" t="s">
        <v>14</v>
      </c>
      <c r="F158" s="12" t="s">
        <v>19</v>
      </c>
      <c r="G158" s="15">
        <v>56</v>
      </c>
      <c r="H158" s="12" t="s">
        <v>668</v>
      </c>
      <c r="I158" s="12" t="s">
        <v>663</v>
      </c>
      <c r="K158" s="16">
        <v>14.09</v>
      </c>
      <c r="L158" s="16">
        <v>21.93</v>
      </c>
      <c r="M158" s="16">
        <v>21.94</v>
      </c>
    </row>
    <row r="159" spans="2:13" ht="22.5" outlineLevel="3" x14ac:dyDescent="0.2">
      <c r="B159" s="4" t="str">
        <f t="shared" si="4"/>
        <v>0005580056</v>
      </c>
      <c r="C159" s="5" t="str">
        <f>"092199"</f>
        <v>092199</v>
      </c>
      <c r="D159" s="12" t="s">
        <v>673</v>
      </c>
      <c r="E159" s="14" t="s">
        <v>14</v>
      </c>
      <c r="F159" s="12" t="s">
        <v>15</v>
      </c>
      <c r="G159" s="15">
        <v>56</v>
      </c>
      <c r="H159" s="12" t="s">
        <v>668</v>
      </c>
      <c r="I159" s="12" t="s">
        <v>30</v>
      </c>
      <c r="K159" s="16">
        <v>13.08</v>
      </c>
      <c r="L159" s="16">
        <v>20.440000000000001</v>
      </c>
      <c r="M159" s="16">
        <v>21.94</v>
      </c>
    </row>
    <row r="160" spans="2:13" outlineLevel="2" x14ac:dyDescent="0.2"/>
    <row r="161" spans="2:13" outlineLevel="3" x14ac:dyDescent="0.2">
      <c r="B161" s="4" t="str">
        <f t="shared" ref="B161:B169" si="5">"0005580100"</f>
        <v>0005580100</v>
      </c>
      <c r="C161" s="5" t="str">
        <f>"582717"</f>
        <v>582717</v>
      </c>
      <c r="D161" s="12" t="s">
        <v>667</v>
      </c>
      <c r="E161" s="14" t="s">
        <v>14</v>
      </c>
      <c r="F161" s="12" t="s">
        <v>19</v>
      </c>
      <c r="G161" s="15">
        <v>100</v>
      </c>
      <c r="H161" s="12" t="s">
        <v>668</v>
      </c>
      <c r="I161" s="12" t="s">
        <v>22</v>
      </c>
      <c r="K161" s="16">
        <v>35.96</v>
      </c>
      <c r="L161" s="16">
        <v>54.42</v>
      </c>
      <c r="M161" s="16">
        <v>26.23</v>
      </c>
    </row>
    <row r="162" spans="2:13" outlineLevel="3" x14ac:dyDescent="0.2">
      <c r="B162" s="4" t="str">
        <f t="shared" si="5"/>
        <v>0005580100</v>
      </c>
      <c r="C162" s="5" t="str">
        <f>"001659"</f>
        <v>001659</v>
      </c>
      <c r="D162" s="12" t="s">
        <v>667</v>
      </c>
      <c r="E162" s="14" t="s">
        <v>14</v>
      </c>
      <c r="F162" s="12" t="s">
        <v>19</v>
      </c>
      <c r="G162" s="15">
        <v>98</v>
      </c>
      <c r="H162" s="12" t="s">
        <v>668</v>
      </c>
      <c r="I162" s="12" t="s">
        <v>22</v>
      </c>
      <c r="K162" s="16">
        <v>35.24</v>
      </c>
      <c r="L162" s="16">
        <v>53.34</v>
      </c>
      <c r="M162" s="16">
        <v>26.23</v>
      </c>
    </row>
    <row r="163" spans="2:13" outlineLevel="3" x14ac:dyDescent="0.2">
      <c r="B163" s="4" t="str">
        <f t="shared" si="5"/>
        <v>0005580100</v>
      </c>
      <c r="C163" s="5" t="str">
        <f>"505715"</f>
        <v>505715</v>
      </c>
      <c r="D163" s="12" t="s">
        <v>674</v>
      </c>
      <c r="E163" s="14" t="s">
        <v>14</v>
      </c>
      <c r="F163" s="12" t="s">
        <v>19</v>
      </c>
      <c r="G163" s="15">
        <v>98</v>
      </c>
      <c r="H163" s="12" t="s">
        <v>668</v>
      </c>
      <c r="I163" s="12" t="s">
        <v>675</v>
      </c>
      <c r="J163" s="2" t="s">
        <v>1400</v>
      </c>
      <c r="K163" s="16">
        <v>17.5</v>
      </c>
      <c r="L163" s="16">
        <v>27.01</v>
      </c>
      <c r="M163" s="16">
        <v>26.23</v>
      </c>
    </row>
    <row r="164" spans="2:13" ht="22.5" outlineLevel="3" x14ac:dyDescent="0.2">
      <c r="B164" s="4" t="str">
        <f t="shared" si="5"/>
        <v>0005580100</v>
      </c>
      <c r="C164" s="5" t="str">
        <f>"048858"</f>
        <v>048858</v>
      </c>
      <c r="D164" s="12" t="s">
        <v>669</v>
      </c>
      <c r="E164" s="14" t="s">
        <v>14</v>
      </c>
      <c r="F164" s="12" t="s">
        <v>15</v>
      </c>
      <c r="G164" s="15">
        <v>100</v>
      </c>
      <c r="H164" s="12" t="s">
        <v>668</v>
      </c>
      <c r="I164" s="12" t="s">
        <v>5</v>
      </c>
      <c r="K164" s="16">
        <v>15.97</v>
      </c>
      <c r="L164" s="16">
        <v>24.73</v>
      </c>
      <c r="M164" s="16">
        <v>26.23</v>
      </c>
    </row>
    <row r="165" spans="2:13" ht="22.5" outlineLevel="3" x14ac:dyDescent="0.2">
      <c r="B165" s="4" t="str">
        <f t="shared" si="5"/>
        <v>0005580100</v>
      </c>
      <c r="C165" s="5" t="str">
        <f>"092210"</f>
        <v>092210</v>
      </c>
      <c r="D165" s="12" t="s">
        <v>673</v>
      </c>
      <c r="E165" s="14" t="s">
        <v>14</v>
      </c>
      <c r="F165" s="12" t="s">
        <v>15</v>
      </c>
      <c r="G165" s="15">
        <v>98</v>
      </c>
      <c r="H165" s="12" t="s">
        <v>668</v>
      </c>
      <c r="I165" s="12" t="s">
        <v>30</v>
      </c>
      <c r="K165" s="16">
        <v>15.97</v>
      </c>
      <c r="L165" s="16">
        <v>24.73</v>
      </c>
      <c r="M165" s="16">
        <v>26.23</v>
      </c>
    </row>
    <row r="166" spans="2:13" ht="22.5" outlineLevel="3" x14ac:dyDescent="0.2">
      <c r="B166" s="4" t="str">
        <f t="shared" si="5"/>
        <v>0005580100</v>
      </c>
      <c r="C166" s="5" t="str">
        <f>"402083"</f>
        <v>402083</v>
      </c>
      <c r="D166" s="12" t="s">
        <v>672</v>
      </c>
      <c r="E166" s="14" t="s">
        <v>14</v>
      </c>
      <c r="F166" s="12" t="s">
        <v>19</v>
      </c>
      <c r="G166" s="15">
        <v>100</v>
      </c>
      <c r="H166" s="12" t="s">
        <v>668</v>
      </c>
      <c r="I166" s="12" t="s">
        <v>663</v>
      </c>
      <c r="K166" s="16">
        <v>15.97</v>
      </c>
      <c r="L166" s="16">
        <v>24.73</v>
      </c>
      <c r="M166" s="16">
        <v>26.23</v>
      </c>
    </row>
    <row r="167" spans="2:13" ht="22.5" outlineLevel="3" x14ac:dyDescent="0.2">
      <c r="B167" s="4" t="str">
        <f t="shared" si="5"/>
        <v>0005580100</v>
      </c>
      <c r="C167" s="5" t="str">
        <f>"413261"</f>
        <v>413261</v>
      </c>
      <c r="D167" s="12" t="s">
        <v>670</v>
      </c>
      <c r="E167" s="14" t="s">
        <v>14</v>
      </c>
      <c r="F167" s="12" t="s">
        <v>19</v>
      </c>
      <c r="G167" s="15">
        <v>100</v>
      </c>
      <c r="H167" s="12" t="s">
        <v>668</v>
      </c>
      <c r="I167" s="12" t="s">
        <v>68</v>
      </c>
      <c r="K167" s="16">
        <v>15.97</v>
      </c>
      <c r="L167" s="16">
        <v>24.73</v>
      </c>
      <c r="M167" s="16">
        <v>26.23</v>
      </c>
    </row>
    <row r="168" spans="2:13" outlineLevel="3" x14ac:dyDescent="0.2">
      <c r="B168" s="4" t="str">
        <f t="shared" si="5"/>
        <v>0005580100</v>
      </c>
      <c r="C168" s="5" t="str">
        <f>"427844"</f>
        <v>427844</v>
      </c>
      <c r="D168" s="12" t="s">
        <v>671</v>
      </c>
      <c r="E168" s="14" t="s">
        <v>14</v>
      </c>
      <c r="F168" s="12" t="s">
        <v>19</v>
      </c>
      <c r="G168" s="15">
        <v>100</v>
      </c>
      <c r="H168" s="12" t="s">
        <v>668</v>
      </c>
      <c r="I168" s="12" t="s">
        <v>70</v>
      </c>
      <c r="K168" s="16">
        <v>15.97</v>
      </c>
      <c r="L168" s="16">
        <v>24.73</v>
      </c>
      <c r="M168" s="16">
        <v>26.23</v>
      </c>
    </row>
    <row r="169" spans="2:13" ht="22.5" outlineLevel="3" x14ac:dyDescent="0.2">
      <c r="B169" s="4" t="str">
        <f t="shared" si="5"/>
        <v>0005580100</v>
      </c>
      <c r="C169" s="5" t="str">
        <f>"440713"</f>
        <v>440713</v>
      </c>
      <c r="D169" s="12" t="s">
        <v>670</v>
      </c>
      <c r="E169" s="14" t="s">
        <v>14</v>
      </c>
      <c r="F169" s="12" t="s">
        <v>19</v>
      </c>
      <c r="G169" s="15">
        <v>100</v>
      </c>
      <c r="H169" s="12" t="s">
        <v>668</v>
      </c>
      <c r="I169" s="12" t="s">
        <v>68</v>
      </c>
      <c r="K169" s="16">
        <v>15.97</v>
      </c>
      <c r="L169" s="16">
        <v>24.73</v>
      </c>
      <c r="M169" s="16">
        <v>26.23</v>
      </c>
    </row>
    <row r="170" spans="2:13" outlineLevel="2" x14ac:dyDescent="0.2"/>
    <row r="171" spans="2:13" ht="22.5" outlineLevel="3" x14ac:dyDescent="0.2">
      <c r="B171" s="4" t="str">
        <f>"0006350014"</f>
        <v>0006350014</v>
      </c>
      <c r="C171" s="5" t="str">
        <f>"472083"</f>
        <v>472083</v>
      </c>
      <c r="D171" s="12" t="s">
        <v>670</v>
      </c>
      <c r="E171" s="14" t="s">
        <v>98</v>
      </c>
      <c r="F171" s="12" t="s">
        <v>19</v>
      </c>
      <c r="G171" s="15">
        <v>14</v>
      </c>
      <c r="H171" s="12" t="s">
        <v>668</v>
      </c>
      <c r="I171" s="12" t="s">
        <v>68</v>
      </c>
      <c r="J171" s="2" t="s">
        <v>1400</v>
      </c>
      <c r="K171" s="16">
        <v>9.2799999999999994</v>
      </c>
      <c r="L171" s="16">
        <v>14.8</v>
      </c>
      <c r="M171" s="16">
        <v>16.3</v>
      </c>
    </row>
    <row r="172" spans="2:13" outlineLevel="3" x14ac:dyDescent="0.2">
      <c r="B172" s="4" t="str">
        <f>"0006350014"</f>
        <v>0006350014</v>
      </c>
      <c r="C172" s="5" t="str">
        <f>"030744"</f>
        <v>030744</v>
      </c>
      <c r="D172" s="12" t="s">
        <v>671</v>
      </c>
      <c r="E172" s="14" t="s">
        <v>98</v>
      </c>
      <c r="F172" s="12" t="s">
        <v>19</v>
      </c>
      <c r="G172" s="15">
        <v>14</v>
      </c>
      <c r="H172" s="12" t="s">
        <v>668</v>
      </c>
      <c r="I172" s="12" t="s">
        <v>70</v>
      </c>
      <c r="K172" s="16">
        <v>9.2799999999999994</v>
      </c>
      <c r="L172" s="16">
        <v>14.8</v>
      </c>
      <c r="M172" s="16">
        <v>16.3</v>
      </c>
    </row>
    <row r="173" spans="2:13" ht="22.5" outlineLevel="3" x14ac:dyDescent="0.2">
      <c r="B173" s="4" t="str">
        <f>"0006350014"</f>
        <v>0006350014</v>
      </c>
      <c r="C173" s="5" t="str">
        <f>"092222"</f>
        <v>092222</v>
      </c>
      <c r="D173" s="12" t="s">
        <v>673</v>
      </c>
      <c r="E173" s="14" t="s">
        <v>98</v>
      </c>
      <c r="F173" s="12" t="s">
        <v>15</v>
      </c>
      <c r="G173" s="15">
        <v>14</v>
      </c>
      <c r="H173" s="12" t="s">
        <v>668</v>
      </c>
      <c r="I173" s="12" t="s">
        <v>30</v>
      </c>
      <c r="K173" s="16">
        <v>9.2799999999999994</v>
      </c>
      <c r="L173" s="16">
        <v>14.8</v>
      </c>
      <c r="M173" s="16">
        <v>16.3</v>
      </c>
    </row>
    <row r="174" spans="2:13" ht="22.5" outlineLevel="3" x14ac:dyDescent="0.2">
      <c r="B174" s="4" t="str">
        <f>"0006350014"</f>
        <v>0006350014</v>
      </c>
      <c r="C174" s="5" t="str">
        <f>"485079"</f>
        <v>485079</v>
      </c>
      <c r="D174" s="12" t="s">
        <v>669</v>
      </c>
      <c r="E174" s="14" t="s">
        <v>98</v>
      </c>
      <c r="F174" s="12" t="s">
        <v>15</v>
      </c>
      <c r="G174" s="15">
        <v>14</v>
      </c>
      <c r="H174" s="12" t="s">
        <v>668</v>
      </c>
      <c r="I174" s="12" t="s">
        <v>5</v>
      </c>
      <c r="K174" s="16">
        <v>9.2799999999999994</v>
      </c>
      <c r="L174" s="16">
        <v>14.8</v>
      </c>
      <c r="M174" s="16">
        <v>16.3</v>
      </c>
    </row>
    <row r="175" spans="2:13" ht="22.5" outlineLevel="3" x14ac:dyDescent="0.2">
      <c r="B175" s="4" t="str">
        <f>"0006350014"</f>
        <v>0006350014</v>
      </c>
      <c r="C175" s="5" t="str">
        <f>"570117"</f>
        <v>570117</v>
      </c>
      <c r="D175" s="12" t="s">
        <v>672</v>
      </c>
      <c r="E175" s="14" t="s">
        <v>98</v>
      </c>
      <c r="F175" s="12" t="s">
        <v>19</v>
      </c>
      <c r="G175" s="15">
        <v>14</v>
      </c>
      <c r="H175" s="12" t="s">
        <v>668</v>
      </c>
      <c r="I175" s="12" t="s">
        <v>663</v>
      </c>
      <c r="K175" s="16">
        <v>9.2799999999999994</v>
      </c>
      <c r="L175" s="16">
        <v>14.8</v>
      </c>
      <c r="M175" s="16">
        <v>16.3</v>
      </c>
    </row>
    <row r="176" spans="2:13" outlineLevel="2" x14ac:dyDescent="0.2"/>
    <row r="177" spans="2:13" outlineLevel="3" x14ac:dyDescent="0.2">
      <c r="B177" s="4" t="str">
        <f>"0006350030"</f>
        <v>0006350030</v>
      </c>
      <c r="C177" s="5" t="str">
        <f>"030755"</f>
        <v>030755</v>
      </c>
      <c r="D177" s="12" t="s">
        <v>671</v>
      </c>
      <c r="E177" s="14" t="s">
        <v>98</v>
      </c>
      <c r="F177" s="12" t="s">
        <v>19</v>
      </c>
      <c r="G177" s="15">
        <v>28</v>
      </c>
      <c r="H177" s="12" t="s">
        <v>668</v>
      </c>
      <c r="I177" s="12" t="s">
        <v>70</v>
      </c>
      <c r="K177" s="16">
        <v>18.55</v>
      </c>
      <c r="L177" s="16">
        <v>28.56</v>
      </c>
      <c r="M177" s="16">
        <v>30.06</v>
      </c>
    </row>
    <row r="178" spans="2:13" ht="22.5" outlineLevel="3" x14ac:dyDescent="0.2">
      <c r="B178" s="4" t="str">
        <f>"0006350030"</f>
        <v>0006350030</v>
      </c>
      <c r="C178" s="5" t="str">
        <f>"092234"</f>
        <v>092234</v>
      </c>
      <c r="D178" s="12" t="s">
        <v>673</v>
      </c>
      <c r="E178" s="14" t="s">
        <v>98</v>
      </c>
      <c r="F178" s="12" t="s">
        <v>15</v>
      </c>
      <c r="G178" s="15">
        <v>28</v>
      </c>
      <c r="H178" s="12" t="s">
        <v>668</v>
      </c>
      <c r="I178" s="12" t="s">
        <v>30</v>
      </c>
      <c r="K178" s="16">
        <v>18.55</v>
      </c>
      <c r="L178" s="16">
        <v>28.56</v>
      </c>
      <c r="M178" s="16">
        <v>30.06</v>
      </c>
    </row>
    <row r="179" spans="2:13" ht="22.5" outlineLevel="3" x14ac:dyDescent="0.2">
      <c r="B179" s="4" t="str">
        <f>"0006350030"</f>
        <v>0006350030</v>
      </c>
      <c r="C179" s="5" t="str">
        <f>"138612"</f>
        <v>138612</v>
      </c>
      <c r="D179" s="12" t="s">
        <v>669</v>
      </c>
      <c r="E179" s="14" t="s">
        <v>98</v>
      </c>
      <c r="F179" s="12" t="s">
        <v>15</v>
      </c>
      <c r="G179" s="15">
        <v>28</v>
      </c>
      <c r="H179" s="12" t="s">
        <v>668</v>
      </c>
      <c r="I179" s="12" t="s">
        <v>5</v>
      </c>
      <c r="K179" s="16">
        <v>18.55</v>
      </c>
      <c r="L179" s="16">
        <v>28.56</v>
      </c>
      <c r="M179" s="16">
        <v>30.06</v>
      </c>
    </row>
    <row r="180" spans="2:13" ht="22.5" outlineLevel="3" x14ac:dyDescent="0.2">
      <c r="B180" s="4" t="str">
        <f>"0006350030"</f>
        <v>0006350030</v>
      </c>
      <c r="C180" s="5" t="str">
        <f>"455407"</f>
        <v>455407</v>
      </c>
      <c r="D180" s="12" t="s">
        <v>670</v>
      </c>
      <c r="E180" s="14" t="s">
        <v>98</v>
      </c>
      <c r="F180" s="12" t="s">
        <v>19</v>
      </c>
      <c r="G180" s="15">
        <v>28</v>
      </c>
      <c r="H180" s="12" t="s">
        <v>668</v>
      </c>
      <c r="I180" s="12" t="s">
        <v>68</v>
      </c>
      <c r="K180" s="16">
        <v>18.55</v>
      </c>
      <c r="L180" s="16">
        <v>28.56</v>
      </c>
      <c r="M180" s="16">
        <v>30.06</v>
      </c>
    </row>
    <row r="181" spans="2:13" ht="22.5" outlineLevel="3" x14ac:dyDescent="0.2">
      <c r="B181" s="4" t="str">
        <f>"0006350030"</f>
        <v>0006350030</v>
      </c>
      <c r="C181" s="5" t="str">
        <f>"511839"</f>
        <v>511839</v>
      </c>
      <c r="D181" s="12" t="s">
        <v>672</v>
      </c>
      <c r="E181" s="14" t="s">
        <v>98</v>
      </c>
      <c r="F181" s="12" t="s">
        <v>19</v>
      </c>
      <c r="G181" s="15">
        <v>28</v>
      </c>
      <c r="H181" s="12" t="s">
        <v>668</v>
      </c>
      <c r="I181" s="12" t="s">
        <v>663</v>
      </c>
      <c r="K181" s="16">
        <v>18.55</v>
      </c>
      <c r="L181" s="16">
        <v>28.56</v>
      </c>
      <c r="M181" s="16">
        <v>30.06</v>
      </c>
    </row>
    <row r="182" spans="2:13" ht="22.5" outlineLevel="3" x14ac:dyDescent="0.2">
      <c r="B182" s="4" t="str">
        <f>"0006350056"</f>
        <v>0006350056</v>
      </c>
      <c r="C182" s="5" t="str">
        <f>"574252"</f>
        <v>574252</v>
      </c>
      <c r="D182" s="12" t="s">
        <v>670</v>
      </c>
      <c r="E182" s="14" t="s">
        <v>98</v>
      </c>
      <c r="F182" s="12" t="s">
        <v>19</v>
      </c>
      <c r="G182" s="15">
        <v>56</v>
      </c>
      <c r="H182" s="12" t="s">
        <v>668</v>
      </c>
      <c r="I182" s="12" t="s">
        <v>68</v>
      </c>
      <c r="J182" s="2" t="s">
        <v>1400</v>
      </c>
      <c r="K182" s="16">
        <v>34.43</v>
      </c>
      <c r="L182" s="16">
        <v>52.14</v>
      </c>
      <c r="M182" s="16">
        <v>54.14</v>
      </c>
    </row>
    <row r="183" spans="2:13" outlineLevel="3" x14ac:dyDescent="0.2">
      <c r="B183" s="4" t="str">
        <f>"0006350056"</f>
        <v>0006350056</v>
      </c>
      <c r="C183" s="5" t="str">
        <f>"030766"</f>
        <v>030766</v>
      </c>
      <c r="D183" s="12" t="s">
        <v>671</v>
      </c>
      <c r="E183" s="14" t="s">
        <v>98</v>
      </c>
      <c r="F183" s="12" t="s">
        <v>19</v>
      </c>
      <c r="G183" s="15">
        <v>56</v>
      </c>
      <c r="H183" s="12" t="s">
        <v>668</v>
      </c>
      <c r="I183" s="12" t="s">
        <v>70</v>
      </c>
      <c r="K183" s="16">
        <v>34.43</v>
      </c>
      <c r="L183" s="16">
        <v>52.14</v>
      </c>
      <c r="M183" s="16">
        <v>54.14</v>
      </c>
    </row>
    <row r="184" spans="2:13" ht="22.5" outlineLevel="3" x14ac:dyDescent="0.2">
      <c r="B184" s="4" t="str">
        <f>"0006350056"</f>
        <v>0006350056</v>
      </c>
      <c r="C184" s="5" t="str">
        <f>"092245"</f>
        <v>092245</v>
      </c>
      <c r="D184" s="12" t="s">
        <v>673</v>
      </c>
      <c r="E184" s="14" t="s">
        <v>98</v>
      </c>
      <c r="F184" s="12" t="s">
        <v>15</v>
      </c>
      <c r="G184" s="15">
        <v>56</v>
      </c>
      <c r="H184" s="12" t="s">
        <v>668</v>
      </c>
      <c r="I184" s="12" t="s">
        <v>30</v>
      </c>
      <c r="K184" s="16">
        <v>34.43</v>
      </c>
      <c r="L184" s="16">
        <v>52.14</v>
      </c>
      <c r="M184" s="16">
        <v>54.14</v>
      </c>
    </row>
    <row r="185" spans="2:13" ht="22.5" outlineLevel="3" x14ac:dyDescent="0.2">
      <c r="B185" s="4" t="str">
        <f>"0006350056"</f>
        <v>0006350056</v>
      </c>
      <c r="C185" s="5" t="str">
        <f>"517411"</f>
        <v>517411</v>
      </c>
      <c r="D185" s="12" t="s">
        <v>672</v>
      </c>
      <c r="E185" s="14" t="s">
        <v>98</v>
      </c>
      <c r="F185" s="12" t="s">
        <v>19</v>
      </c>
      <c r="G185" s="15">
        <v>56</v>
      </c>
      <c r="H185" s="12" t="s">
        <v>668</v>
      </c>
      <c r="I185" s="12" t="s">
        <v>663</v>
      </c>
      <c r="K185" s="16">
        <v>34.43</v>
      </c>
      <c r="L185" s="16">
        <v>52.14</v>
      </c>
      <c r="M185" s="16">
        <v>54.14</v>
      </c>
    </row>
    <row r="186" spans="2:13" ht="22.5" outlineLevel="3" x14ac:dyDescent="0.2">
      <c r="B186" s="4" t="str">
        <f>"0006350056"</f>
        <v>0006350056</v>
      </c>
      <c r="C186" s="5" t="str">
        <f>"521702"</f>
        <v>521702</v>
      </c>
      <c r="D186" s="12" t="s">
        <v>669</v>
      </c>
      <c r="E186" s="14" t="s">
        <v>98</v>
      </c>
      <c r="F186" s="12" t="s">
        <v>15</v>
      </c>
      <c r="G186" s="15">
        <v>56</v>
      </c>
      <c r="H186" s="12" t="s">
        <v>668</v>
      </c>
      <c r="I186" s="12" t="s">
        <v>5</v>
      </c>
      <c r="K186" s="16">
        <v>34.43</v>
      </c>
      <c r="L186" s="16">
        <v>52.14</v>
      </c>
      <c r="M186" s="16">
        <v>54.14</v>
      </c>
    </row>
    <row r="187" spans="2:13" outlineLevel="2" x14ac:dyDescent="0.2"/>
    <row r="188" spans="2:13" ht="22.5" outlineLevel="3" x14ac:dyDescent="0.2">
      <c r="B188" s="4" t="str">
        <f t="shared" ref="B188:B194" si="6">"0006350100"</f>
        <v>0006350100</v>
      </c>
      <c r="C188" s="5" t="str">
        <f>"555578"</f>
        <v>555578</v>
      </c>
      <c r="D188" s="12" t="s">
        <v>669</v>
      </c>
      <c r="E188" s="14" t="s">
        <v>98</v>
      </c>
      <c r="F188" s="12" t="s">
        <v>15</v>
      </c>
      <c r="G188" s="15">
        <v>100</v>
      </c>
      <c r="H188" s="12" t="s">
        <v>668</v>
      </c>
      <c r="I188" s="12" t="s">
        <v>75</v>
      </c>
      <c r="J188" s="2" t="s">
        <v>1400</v>
      </c>
      <c r="K188" s="16">
        <v>58.77</v>
      </c>
      <c r="L188" s="16">
        <v>86.9</v>
      </c>
      <c r="M188" s="16">
        <v>88.55</v>
      </c>
    </row>
    <row r="189" spans="2:13" ht="22.5" outlineLevel="3" x14ac:dyDescent="0.2">
      <c r="B189" s="4" t="str">
        <f t="shared" si="6"/>
        <v>0006350100</v>
      </c>
      <c r="C189" s="5" t="str">
        <f>"154288"</f>
        <v>154288</v>
      </c>
      <c r="D189" s="12" t="s">
        <v>672</v>
      </c>
      <c r="E189" s="14" t="s">
        <v>98</v>
      </c>
      <c r="F189" s="12" t="s">
        <v>19</v>
      </c>
      <c r="G189" s="15">
        <v>100</v>
      </c>
      <c r="H189" s="12" t="s">
        <v>668</v>
      </c>
      <c r="I189" s="12" t="s">
        <v>663</v>
      </c>
      <c r="K189" s="16">
        <v>58.77</v>
      </c>
      <c r="L189" s="16">
        <v>86.9</v>
      </c>
      <c r="M189" s="16">
        <v>88.55</v>
      </c>
    </row>
    <row r="190" spans="2:13" ht="22.5" outlineLevel="3" x14ac:dyDescent="0.2">
      <c r="B190" s="4" t="str">
        <f t="shared" si="6"/>
        <v>0006350100</v>
      </c>
      <c r="C190" s="5" t="str">
        <f>"391382"</f>
        <v>391382</v>
      </c>
      <c r="D190" s="12" t="s">
        <v>670</v>
      </c>
      <c r="E190" s="14" t="s">
        <v>98</v>
      </c>
      <c r="F190" s="12" t="s">
        <v>19</v>
      </c>
      <c r="G190" s="15">
        <v>100</v>
      </c>
      <c r="H190" s="12" t="s">
        <v>668</v>
      </c>
      <c r="I190" s="12" t="s">
        <v>68</v>
      </c>
      <c r="K190" s="16">
        <v>58.77</v>
      </c>
      <c r="L190" s="16">
        <v>86.9</v>
      </c>
      <c r="M190" s="16">
        <v>88.55</v>
      </c>
    </row>
    <row r="191" spans="2:13" ht="22.5" outlineLevel="3" x14ac:dyDescent="0.2">
      <c r="B191" s="4" t="str">
        <f t="shared" si="6"/>
        <v>0006350100</v>
      </c>
      <c r="C191" s="5" t="str">
        <f>"522038"</f>
        <v>522038</v>
      </c>
      <c r="D191" s="12" t="s">
        <v>670</v>
      </c>
      <c r="E191" s="14" t="s">
        <v>98</v>
      </c>
      <c r="F191" s="12" t="s">
        <v>19</v>
      </c>
      <c r="G191" s="15">
        <v>100</v>
      </c>
      <c r="H191" s="12" t="s">
        <v>668</v>
      </c>
      <c r="I191" s="12" t="s">
        <v>68</v>
      </c>
      <c r="K191" s="16">
        <v>58.77</v>
      </c>
      <c r="L191" s="16">
        <v>86.9</v>
      </c>
      <c r="M191" s="16">
        <v>88.55</v>
      </c>
    </row>
    <row r="192" spans="2:13" outlineLevel="3" x14ac:dyDescent="0.2">
      <c r="B192" s="4" t="str">
        <f t="shared" si="6"/>
        <v>0006350100</v>
      </c>
      <c r="C192" s="5" t="str">
        <f>"582391"</f>
        <v>582391</v>
      </c>
      <c r="D192" s="12" t="s">
        <v>671</v>
      </c>
      <c r="E192" s="14" t="s">
        <v>98</v>
      </c>
      <c r="F192" s="12" t="s">
        <v>19</v>
      </c>
      <c r="G192" s="15">
        <v>100</v>
      </c>
      <c r="H192" s="12" t="s">
        <v>668</v>
      </c>
      <c r="I192" s="12" t="s">
        <v>70</v>
      </c>
      <c r="K192" s="16">
        <v>58.77</v>
      </c>
      <c r="L192" s="16">
        <v>86.9</v>
      </c>
      <c r="M192" s="16">
        <v>88.55</v>
      </c>
    </row>
    <row r="193" spans="1:13" ht="22.5" outlineLevel="3" x14ac:dyDescent="0.2">
      <c r="B193" s="4" t="str">
        <f t="shared" si="6"/>
        <v>0006350100</v>
      </c>
      <c r="C193" s="5" t="str">
        <f>"092256"</f>
        <v>092256</v>
      </c>
      <c r="D193" s="12" t="s">
        <v>673</v>
      </c>
      <c r="E193" s="14" t="s">
        <v>98</v>
      </c>
      <c r="F193" s="12" t="s">
        <v>15</v>
      </c>
      <c r="G193" s="15">
        <v>98</v>
      </c>
      <c r="H193" s="12" t="s">
        <v>668</v>
      </c>
      <c r="I193" s="12" t="s">
        <v>30</v>
      </c>
      <c r="K193" s="16">
        <v>58.51</v>
      </c>
      <c r="L193" s="16">
        <v>86.55</v>
      </c>
      <c r="M193" s="16">
        <v>88.55</v>
      </c>
    </row>
    <row r="194" spans="1:13" ht="22.5" outlineLevel="3" x14ac:dyDescent="0.2">
      <c r="B194" s="4" t="str">
        <f t="shared" si="6"/>
        <v>0006350100</v>
      </c>
      <c r="C194" s="5" t="str">
        <f>"177979"</f>
        <v>177979</v>
      </c>
      <c r="D194" s="12" t="s">
        <v>669</v>
      </c>
      <c r="E194" s="14" t="s">
        <v>98</v>
      </c>
      <c r="F194" s="12" t="s">
        <v>15</v>
      </c>
      <c r="G194" s="15">
        <v>98</v>
      </c>
      <c r="H194" s="12" t="s">
        <v>668</v>
      </c>
      <c r="I194" s="12" t="s">
        <v>5</v>
      </c>
      <c r="K194" s="16">
        <v>58.51</v>
      </c>
      <c r="L194" s="16">
        <v>86.55</v>
      </c>
      <c r="M194" s="16">
        <v>88.55</v>
      </c>
    </row>
    <row r="195" spans="1:13" outlineLevel="1" x14ac:dyDescent="0.2">
      <c r="A195" s="3"/>
    </row>
    <row r="196" spans="1:13" outlineLevel="2" x14ac:dyDescent="0.2">
      <c r="A196" s="3" t="s">
        <v>1408</v>
      </c>
    </row>
    <row r="197" spans="1:13" ht="22.5" outlineLevel="3" x14ac:dyDescent="0.2">
      <c r="B197" s="4" t="str">
        <f>"0005760010"</f>
        <v>0005760010</v>
      </c>
      <c r="C197" s="5" t="str">
        <f>"406017"</f>
        <v>406017</v>
      </c>
      <c r="D197" s="12" t="s">
        <v>715</v>
      </c>
      <c r="E197" s="14" t="s">
        <v>179</v>
      </c>
      <c r="F197" s="12" t="s">
        <v>716</v>
      </c>
      <c r="G197" s="15">
        <v>10</v>
      </c>
      <c r="H197" s="12" t="s">
        <v>712</v>
      </c>
      <c r="I197" s="12" t="s">
        <v>109</v>
      </c>
      <c r="K197" s="16">
        <v>14.52</v>
      </c>
      <c r="L197" s="16">
        <v>22.57</v>
      </c>
      <c r="M197" s="16">
        <v>22.57</v>
      </c>
    </row>
    <row r="198" spans="1:13" ht="22.5" outlineLevel="3" x14ac:dyDescent="0.2">
      <c r="B198" s="4" t="str">
        <f>"0005760010"</f>
        <v>0005760010</v>
      </c>
      <c r="C198" s="5" t="str">
        <f>"396784"</f>
        <v>396784</v>
      </c>
      <c r="D198" s="12" t="s">
        <v>713</v>
      </c>
      <c r="E198" s="14" t="s">
        <v>179</v>
      </c>
      <c r="F198" s="12" t="s">
        <v>432</v>
      </c>
      <c r="G198" s="15" t="s">
        <v>714</v>
      </c>
      <c r="H198" s="12" t="s">
        <v>712</v>
      </c>
      <c r="I198" s="12" t="s">
        <v>20</v>
      </c>
      <c r="K198" s="16">
        <v>13.67</v>
      </c>
      <c r="L198" s="16">
        <v>21.31</v>
      </c>
      <c r="M198" s="16">
        <v>22.57</v>
      </c>
    </row>
    <row r="199" spans="1:13" ht="33.75" outlineLevel="3" x14ac:dyDescent="0.2">
      <c r="B199" s="4" t="str">
        <f>"0005760010"</f>
        <v>0005760010</v>
      </c>
      <c r="C199" s="5" t="str">
        <f>"031241"</f>
        <v>031241</v>
      </c>
      <c r="D199" s="12" t="s">
        <v>711</v>
      </c>
      <c r="E199" s="14" t="s">
        <v>179</v>
      </c>
      <c r="F199" s="12" t="s">
        <v>3</v>
      </c>
      <c r="G199" s="15">
        <v>10</v>
      </c>
      <c r="H199" s="12" t="s">
        <v>712</v>
      </c>
      <c r="I199" s="12" t="s">
        <v>60</v>
      </c>
      <c r="K199" s="16">
        <v>13.5</v>
      </c>
      <c r="L199" s="16">
        <v>21.07</v>
      </c>
      <c r="M199" s="16">
        <v>22.57</v>
      </c>
    </row>
    <row r="200" spans="1:13" outlineLevel="2" x14ac:dyDescent="0.2"/>
    <row r="201" spans="1:13" ht="33.75" outlineLevel="3" x14ac:dyDescent="0.2">
      <c r="B201" s="4" t="str">
        <f>"0005760100"</f>
        <v>0005760100</v>
      </c>
      <c r="C201" s="5" t="str">
        <f>"495267"</f>
        <v>495267</v>
      </c>
      <c r="D201" s="12" t="s">
        <v>717</v>
      </c>
      <c r="E201" s="14" t="s">
        <v>179</v>
      </c>
      <c r="F201" s="12" t="s">
        <v>3</v>
      </c>
      <c r="G201" s="15">
        <v>100</v>
      </c>
      <c r="H201" s="12" t="s">
        <v>712</v>
      </c>
      <c r="I201" s="12" t="s">
        <v>109</v>
      </c>
      <c r="K201" s="16">
        <v>152.58000000000001</v>
      </c>
      <c r="L201" s="16">
        <v>210.21</v>
      </c>
      <c r="M201" s="16">
        <v>210.21</v>
      </c>
    </row>
    <row r="202" spans="1:13" ht="33.75" outlineLevel="3" x14ac:dyDescent="0.2">
      <c r="B202" s="4" t="str">
        <f>"0005760100"</f>
        <v>0005760100</v>
      </c>
      <c r="C202" s="5" t="str">
        <f>"031253"</f>
        <v>031253</v>
      </c>
      <c r="D202" s="12" t="s">
        <v>711</v>
      </c>
      <c r="E202" s="14" t="s">
        <v>179</v>
      </c>
      <c r="F202" s="12" t="s">
        <v>3</v>
      </c>
      <c r="G202" s="15">
        <v>100</v>
      </c>
      <c r="H202" s="12" t="s">
        <v>712</v>
      </c>
      <c r="I202" s="12" t="s">
        <v>60</v>
      </c>
      <c r="K202" s="16">
        <v>151</v>
      </c>
      <c r="L202" s="16">
        <v>208.21</v>
      </c>
      <c r="M202" s="16">
        <v>210.21</v>
      </c>
    </row>
    <row r="203" spans="1:13" outlineLevel="2" x14ac:dyDescent="0.2"/>
    <row r="204" spans="1:13" ht="22.5" outlineLevel="3" x14ac:dyDescent="0.2">
      <c r="B204" s="4" t="str">
        <f>"0005770010"</f>
        <v>0005770010</v>
      </c>
      <c r="C204" s="5" t="str">
        <f>"406041"</f>
        <v>406041</v>
      </c>
      <c r="D204" s="12" t="s">
        <v>715</v>
      </c>
      <c r="E204" s="14" t="s">
        <v>544</v>
      </c>
      <c r="F204" s="12" t="s">
        <v>716</v>
      </c>
      <c r="G204" s="15">
        <v>10</v>
      </c>
      <c r="H204" s="12" t="s">
        <v>712</v>
      </c>
      <c r="I204" s="12" t="s">
        <v>109</v>
      </c>
      <c r="K204" s="16">
        <v>15.31</v>
      </c>
      <c r="L204" s="16">
        <v>23.75</v>
      </c>
      <c r="M204" s="16">
        <v>23.75</v>
      </c>
    </row>
    <row r="205" spans="1:13" ht="33.75" outlineLevel="3" x14ac:dyDescent="0.2">
      <c r="B205" s="4" t="str">
        <f>"0005770010"</f>
        <v>0005770010</v>
      </c>
      <c r="C205" s="5" t="str">
        <f>"154442"</f>
        <v>154442</v>
      </c>
      <c r="D205" s="12" t="s">
        <v>711</v>
      </c>
      <c r="E205" s="14" t="s">
        <v>544</v>
      </c>
      <c r="F205" s="12" t="s">
        <v>3</v>
      </c>
      <c r="G205" s="15">
        <v>10</v>
      </c>
      <c r="H205" s="12" t="s">
        <v>712</v>
      </c>
      <c r="I205" s="12" t="s">
        <v>60</v>
      </c>
      <c r="K205" s="16">
        <v>14.3</v>
      </c>
      <c r="L205" s="16">
        <v>22.25</v>
      </c>
      <c r="M205" s="16">
        <v>23.75</v>
      </c>
    </row>
    <row r="206" spans="1:13" outlineLevel="1" x14ac:dyDescent="0.2">
      <c r="A206" s="3"/>
    </row>
    <row r="207" spans="1:13" outlineLevel="2" x14ac:dyDescent="0.2">
      <c r="A207" s="3" t="s">
        <v>1409</v>
      </c>
    </row>
    <row r="208" spans="1:13" ht="33.75" outlineLevel="3" x14ac:dyDescent="0.2">
      <c r="B208" s="4" t="str">
        <f>"0008460010"</f>
        <v>0008460010</v>
      </c>
      <c r="C208" s="5" t="str">
        <f>"028787"</f>
        <v>028787</v>
      </c>
      <c r="D208" s="12" t="s">
        <v>906</v>
      </c>
      <c r="E208" s="14" t="s">
        <v>465</v>
      </c>
      <c r="F208" s="12" t="s">
        <v>3</v>
      </c>
      <c r="G208" s="15">
        <v>10</v>
      </c>
      <c r="H208" s="12" t="s">
        <v>907</v>
      </c>
      <c r="I208" s="12" t="s">
        <v>152</v>
      </c>
      <c r="J208" s="2" t="s">
        <v>1400</v>
      </c>
      <c r="K208" s="16">
        <v>42.13</v>
      </c>
      <c r="L208" s="16">
        <v>63.58</v>
      </c>
      <c r="M208" s="16">
        <v>56.47</v>
      </c>
    </row>
    <row r="209" spans="1:13" ht="33.75" outlineLevel="3" x14ac:dyDescent="0.2">
      <c r="B209" s="4" t="str">
        <f>"0008460010"</f>
        <v>0008460010</v>
      </c>
      <c r="C209" s="5" t="str">
        <f>"068579"</f>
        <v>068579</v>
      </c>
      <c r="D209" s="12" t="s">
        <v>908</v>
      </c>
      <c r="E209" s="14" t="s">
        <v>465</v>
      </c>
      <c r="F209" s="12" t="s">
        <v>3</v>
      </c>
      <c r="G209" s="15">
        <v>10</v>
      </c>
      <c r="H209" s="12" t="s">
        <v>907</v>
      </c>
      <c r="I209" s="12" t="s">
        <v>60</v>
      </c>
      <c r="K209" s="16">
        <v>36</v>
      </c>
      <c r="L209" s="16">
        <v>54.47</v>
      </c>
      <c r="M209" s="16">
        <v>56.47</v>
      </c>
    </row>
    <row r="210" spans="1:13" outlineLevel="2" x14ac:dyDescent="0.2"/>
    <row r="211" spans="1:13" ht="33.75" outlineLevel="3" x14ac:dyDescent="0.2">
      <c r="B211" s="4" t="str">
        <f>"0008470005"</f>
        <v>0008470005</v>
      </c>
      <c r="C211" s="5" t="str">
        <f>"389577"</f>
        <v>389577</v>
      </c>
      <c r="D211" s="12" t="s">
        <v>906</v>
      </c>
      <c r="E211" s="14" t="s">
        <v>649</v>
      </c>
      <c r="F211" s="12" t="s">
        <v>3</v>
      </c>
      <c r="G211" s="15">
        <v>5</v>
      </c>
      <c r="H211" s="12" t="s">
        <v>907</v>
      </c>
      <c r="I211" s="12" t="s">
        <v>152</v>
      </c>
      <c r="J211" s="2" t="s">
        <v>1400</v>
      </c>
      <c r="K211" s="16">
        <v>42.13</v>
      </c>
      <c r="L211" s="16">
        <v>63.58</v>
      </c>
      <c r="M211" s="16">
        <v>56.47</v>
      </c>
    </row>
    <row r="212" spans="1:13" ht="33.75" outlineLevel="3" x14ac:dyDescent="0.2">
      <c r="B212" s="4" t="str">
        <f>"0008470005"</f>
        <v>0008470005</v>
      </c>
      <c r="C212" s="5" t="str">
        <f>"068588"</f>
        <v>068588</v>
      </c>
      <c r="D212" s="12" t="s">
        <v>908</v>
      </c>
      <c r="E212" s="14" t="s">
        <v>649</v>
      </c>
      <c r="F212" s="12" t="s">
        <v>3</v>
      </c>
      <c r="G212" s="15">
        <v>5</v>
      </c>
      <c r="H212" s="12" t="s">
        <v>907</v>
      </c>
      <c r="I212" s="12" t="s">
        <v>60</v>
      </c>
      <c r="K212" s="16">
        <v>36</v>
      </c>
      <c r="L212" s="16">
        <v>54.47</v>
      </c>
      <c r="M212" s="16">
        <v>56.47</v>
      </c>
    </row>
    <row r="213" spans="1:13" outlineLevel="1" x14ac:dyDescent="0.2">
      <c r="A213" s="3"/>
    </row>
    <row r="214" spans="1:13" outlineLevel="2" x14ac:dyDescent="0.2">
      <c r="A214" s="3" t="s">
        <v>1410</v>
      </c>
    </row>
    <row r="215" spans="1:13" ht="22.5" outlineLevel="3" x14ac:dyDescent="0.2">
      <c r="B215" s="4" t="str">
        <f>"0000211000"</f>
        <v>0000211000</v>
      </c>
      <c r="C215" s="5" t="str">
        <f>"027169"</f>
        <v>027169</v>
      </c>
      <c r="D215" s="12" t="s">
        <v>37</v>
      </c>
      <c r="E215" s="14" t="s">
        <v>38</v>
      </c>
      <c r="F215" s="12" t="s">
        <v>34</v>
      </c>
      <c r="G215" s="15" t="s">
        <v>35</v>
      </c>
      <c r="H215" s="12" t="s">
        <v>36</v>
      </c>
      <c r="I215" s="12" t="s">
        <v>39</v>
      </c>
      <c r="K215" s="16">
        <v>9.06</v>
      </c>
      <c r="L215" s="16">
        <v>15.5</v>
      </c>
      <c r="M215" s="16">
        <v>15.51</v>
      </c>
    </row>
    <row r="216" spans="1:13" ht="22.5" outlineLevel="3" x14ac:dyDescent="0.2">
      <c r="B216" s="4" t="str">
        <f>"0000211000"</f>
        <v>0000211000</v>
      </c>
      <c r="C216" s="5" t="str">
        <f>"450353"</f>
        <v>450353</v>
      </c>
      <c r="D216" s="12" t="s">
        <v>40</v>
      </c>
      <c r="E216" s="14" t="s">
        <v>33</v>
      </c>
      <c r="F216" s="12" t="s">
        <v>34</v>
      </c>
      <c r="G216" s="15" t="s">
        <v>35</v>
      </c>
      <c r="H216" s="12" t="s">
        <v>36</v>
      </c>
      <c r="I216" s="12" t="s">
        <v>41</v>
      </c>
      <c r="K216" s="16">
        <v>9.06</v>
      </c>
      <c r="L216" s="16">
        <v>15.5</v>
      </c>
      <c r="M216" s="16">
        <v>15.51</v>
      </c>
    </row>
    <row r="217" spans="1:13" ht="22.5" outlineLevel="3" x14ac:dyDescent="0.2">
      <c r="B217" s="4" t="str">
        <f>"0000211000"</f>
        <v>0000211000</v>
      </c>
      <c r="C217" s="5" t="str">
        <f>"021262"</f>
        <v>021262</v>
      </c>
      <c r="D217" s="12" t="s">
        <v>32</v>
      </c>
      <c r="E217" s="14" t="s">
        <v>33</v>
      </c>
      <c r="F217" s="12" t="s">
        <v>34</v>
      </c>
      <c r="G217" s="15" t="s">
        <v>35</v>
      </c>
      <c r="H217" s="12" t="s">
        <v>36</v>
      </c>
      <c r="I217" s="12" t="s">
        <v>6</v>
      </c>
      <c r="K217" s="16">
        <v>8.16</v>
      </c>
      <c r="L217" s="16">
        <v>14.01</v>
      </c>
      <c r="M217" s="16">
        <v>15.51</v>
      </c>
    </row>
    <row r="218" spans="1:13" outlineLevel="1" x14ac:dyDescent="0.2">
      <c r="A218" s="3"/>
    </row>
    <row r="219" spans="1:13" outlineLevel="2" x14ac:dyDescent="0.2">
      <c r="A219" s="3" t="s">
        <v>1411</v>
      </c>
    </row>
    <row r="220" spans="1:13" outlineLevel="3" x14ac:dyDescent="0.2">
      <c r="B220" s="4" t="str">
        <f>"0000260700"</f>
        <v>0000260700</v>
      </c>
      <c r="C220" s="5" t="str">
        <f>"184234"</f>
        <v>184234</v>
      </c>
      <c r="D220" s="12" t="s">
        <v>49</v>
      </c>
      <c r="E220" s="14" t="s">
        <v>50</v>
      </c>
      <c r="F220" s="12" t="s">
        <v>51</v>
      </c>
      <c r="G220" s="15" t="s">
        <v>46</v>
      </c>
      <c r="H220" s="12" t="s">
        <v>47</v>
      </c>
      <c r="I220" s="12" t="s">
        <v>52</v>
      </c>
      <c r="K220" s="16">
        <v>26.22</v>
      </c>
      <c r="L220" s="16">
        <v>39.950000000000003</v>
      </c>
      <c r="M220" s="16">
        <v>40.450000000000003</v>
      </c>
    </row>
    <row r="221" spans="1:13" ht="22.5" outlineLevel="3" x14ac:dyDescent="0.2">
      <c r="B221" s="4" t="str">
        <f>"0000260700"</f>
        <v>0000260700</v>
      </c>
      <c r="C221" s="5" t="str">
        <f>"104836"</f>
        <v>104836</v>
      </c>
      <c r="D221" s="12" t="s">
        <v>43</v>
      </c>
      <c r="E221" s="14" t="s">
        <v>44</v>
      </c>
      <c r="F221" s="12" t="s">
        <v>45</v>
      </c>
      <c r="G221" s="15" t="s">
        <v>46</v>
      </c>
      <c r="H221" s="12" t="s">
        <v>47</v>
      </c>
      <c r="I221" s="12" t="s">
        <v>48</v>
      </c>
      <c r="K221" s="16">
        <v>25.55</v>
      </c>
      <c r="L221" s="16">
        <v>38.950000000000003</v>
      </c>
      <c r="M221" s="16">
        <v>40.450000000000003</v>
      </c>
    </row>
    <row r="222" spans="1:13" outlineLevel="1" x14ac:dyDescent="0.2">
      <c r="A222" s="3"/>
    </row>
    <row r="223" spans="1:13" outlineLevel="2" x14ac:dyDescent="0.2">
      <c r="A223" s="3" t="s">
        <v>1412</v>
      </c>
    </row>
    <row r="224" spans="1:13" ht="33.75" outlineLevel="3" x14ac:dyDescent="0.2">
      <c r="B224" s="4" t="str">
        <f>"0000270100"</f>
        <v>0000270100</v>
      </c>
      <c r="C224" s="5" t="str">
        <f>"010730"</f>
        <v>010730</v>
      </c>
      <c r="D224" s="12" t="s">
        <v>53</v>
      </c>
      <c r="E224" s="14" t="s">
        <v>54</v>
      </c>
      <c r="F224" s="12" t="s">
        <v>3</v>
      </c>
      <c r="G224" s="15">
        <v>100</v>
      </c>
      <c r="H224" s="12" t="s">
        <v>55</v>
      </c>
      <c r="I224" s="12" t="s">
        <v>56</v>
      </c>
      <c r="K224" s="16">
        <v>4.7699999999999996</v>
      </c>
      <c r="L224" s="16">
        <v>7.61</v>
      </c>
      <c r="M224" s="16">
        <v>5.01</v>
      </c>
    </row>
    <row r="225" spans="2:13" ht="33.75" outlineLevel="3" x14ac:dyDescent="0.2">
      <c r="B225" s="4" t="str">
        <f>"0000270100"</f>
        <v>0000270100</v>
      </c>
      <c r="C225" s="5" t="str">
        <f>"159660"</f>
        <v>159660</v>
      </c>
      <c r="D225" s="12" t="s">
        <v>63</v>
      </c>
      <c r="E225" s="14" t="s">
        <v>54</v>
      </c>
      <c r="F225" s="12" t="s">
        <v>3</v>
      </c>
      <c r="G225" s="15">
        <v>100</v>
      </c>
      <c r="H225" s="12" t="s">
        <v>55</v>
      </c>
      <c r="I225" s="12" t="s">
        <v>64</v>
      </c>
      <c r="K225" s="16">
        <v>4</v>
      </c>
      <c r="L225" s="16">
        <v>6.38</v>
      </c>
      <c r="M225" s="16">
        <v>5.01</v>
      </c>
    </row>
    <row r="226" spans="2:13" ht="33.75" outlineLevel="3" x14ac:dyDescent="0.2">
      <c r="B226" s="4" t="str">
        <f>"0000270100"</f>
        <v>0000270100</v>
      </c>
      <c r="C226" s="5" t="str">
        <f>"030252"</f>
        <v>030252</v>
      </c>
      <c r="D226" s="12" t="s">
        <v>57</v>
      </c>
      <c r="E226" s="14" t="s">
        <v>50</v>
      </c>
      <c r="F226" s="12" t="s">
        <v>3</v>
      </c>
      <c r="G226" s="15">
        <v>100</v>
      </c>
      <c r="H226" s="12" t="s">
        <v>55</v>
      </c>
      <c r="I226" s="12" t="s">
        <v>58</v>
      </c>
      <c r="K226" s="16">
        <v>3.39</v>
      </c>
      <c r="L226" s="16">
        <v>5.41</v>
      </c>
      <c r="M226" s="16">
        <v>5.01</v>
      </c>
    </row>
    <row r="227" spans="2:13" ht="33.75" outlineLevel="3" x14ac:dyDescent="0.2">
      <c r="B227" s="4" t="str">
        <f>"0000270100"</f>
        <v>0000270100</v>
      </c>
      <c r="C227" s="5" t="str">
        <f>"143152"</f>
        <v>143152</v>
      </c>
      <c r="D227" s="12" t="s">
        <v>61</v>
      </c>
      <c r="E227" s="14" t="s">
        <v>54</v>
      </c>
      <c r="F227" s="12" t="s">
        <v>3</v>
      </c>
      <c r="G227" s="15">
        <v>100</v>
      </c>
      <c r="H227" s="12" t="s">
        <v>55</v>
      </c>
      <c r="I227" s="12" t="s">
        <v>62</v>
      </c>
      <c r="K227" s="16">
        <v>3.39</v>
      </c>
      <c r="L227" s="16">
        <v>5.41</v>
      </c>
      <c r="M227" s="16">
        <v>5.01</v>
      </c>
    </row>
    <row r="228" spans="2:13" ht="33.75" outlineLevel="3" x14ac:dyDescent="0.2">
      <c r="B228" s="4" t="str">
        <f>"0000270100"</f>
        <v>0000270100</v>
      </c>
      <c r="C228" s="5" t="str">
        <f>"107484"</f>
        <v>107484</v>
      </c>
      <c r="D228" s="12" t="s">
        <v>59</v>
      </c>
      <c r="E228" s="14" t="s">
        <v>54</v>
      </c>
      <c r="F228" s="12" t="s">
        <v>3</v>
      </c>
      <c r="G228" s="15">
        <v>100</v>
      </c>
      <c r="H228" s="12" t="s">
        <v>55</v>
      </c>
      <c r="I228" s="12" t="s">
        <v>60</v>
      </c>
      <c r="K228" s="16">
        <v>2.2000000000000002</v>
      </c>
      <c r="L228" s="16">
        <v>3.51</v>
      </c>
      <c r="M228" s="16">
        <v>5.01</v>
      </c>
    </row>
    <row r="229" spans="2:13" outlineLevel="2" x14ac:dyDescent="0.2"/>
    <row r="230" spans="2:13" ht="33.75" outlineLevel="3" x14ac:dyDescent="0.2">
      <c r="B230" s="4" t="str">
        <f>"0000290100"</f>
        <v>0000290100</v>
      </c>
      <c r="C230" s="5" t="str">
        <f>"395673"</f>
        <v>395673</v>
      </c>
      <c r="D230" s="12" t="s">
        <v>69</v>
      </c>
      <c r="E230" s="14" t="s">
        <v>66</v>
      </c>
      <c r="F230" s="12" t="s">
        <v>3</v>
      </c>
      <c r="G230" s="15">
        <v>100</v>
      </c>
      <c r="H230" s="12" t="s">
        <v>55</v>
      </c>
      <c r="I230" s="12" t="s">
        <v>70</v>
      </c>
      <c r="K230" s="16">
        <v>5.15</v>
      </c>
      <c r="L230" s="16">
        <v>8.2200000000000006</v>
      </c>
      <c r="M230" s="16">
        <v>8.2799999999999994</v>
      </c>
    </row>
    <row r="231" spans="2:13" ht="33.75" outlineLevel="3" x14ac:dyDescent="0.2">
      <c r="B231" s="4" t="str">
        <f>"0000290100"</f>
        <v>0000290100</v>
      </c>
      <c r="C231" s="5" t="str">
        <f>"059273"</f>
        <v>059273</v>
      </c>
      <c r="D231" s="12" t="s">
        <v>65</v>
      </c>
      <c r="E231" s="14" t="s">
        <v>66</v>
      </c>
      <c r="F231" s="12" t="s">
        <v>3</v>
      </c>
      <c r="G231" s="15">
        <v>100</v>
      </c>
      <c r="H231" s="12" t="s">
        <v>55</v>
      </c>
      <c r="I231" s="12" t="s">
        <v>11</v>
      </c>
      <c r="J231" s="2" t="s">
        <v>1400</v>
      </c>
      <c r="K231" s="16">
        <v>4.3</v>
      </c>
      <c r="L231" s="16">
        <v>6.86</v>
      </c>
      <c r="M231" s="16">
        <v>8.2799999999999994</v>
      </c>
    </row>
    <row r="232" spans="2:13" ht="33.75" outlineLevel="3" x14ac:dyDescent="0.2">
      <c r="B232" s="4" t="str">
        <f>"0000290100"</f>
        <v>0000290100</v>
      </c>
      <c r="C232" s="5" t="str">
        <f>"006062"</f>
        <v>006062</v>
      </c>
      <c r="D232" s="12" t="s">
        <v>67</v>
      </c>
      <c r="E232" s="14" t="s">
        <v>66</v>
      </c>
      <c r="F232" s="12" t="s">
        <v>3</v>
      </c>
      <c r="G232" s="15">
        <v>100</v>
      </c>
      <c r="H232" s="12" t="s">
        <v>55</v>
      </c>
      <c r="I232" s="12" t="s">
        <v>68</v>
      </c>
      <c r="K232" s="16">
        <v>4.3</v>
      </c>
      <c r="L232" s="16">
        <v>6.86</v>
      </c>
      <c r="M232" s="16">
        <v>8.2799999999999994</v>
      </c>
    </row>
    <row r="233" spans="2:13" ht="33.75" outlineLevel="3" x14ac:dyDescent="0.2">
      <c r="B233" s="4" t="str">
        <f>"0000290100"</f>
        <v>0000290100</v>
      </c>
      <c r="C233" s="5" t="str">
        <f>"374231"</f>
        <v>374231</v>
      </c>
      <c r="D233" s="12" t="s">
        <v>53</v>
      </c>
      <c r="E233" s="14" t="s">
        <v>66</v>
      </c>
      <c r="F233" s="12" t="s">
        <v>3</v>
      </c>
      <c r="G233" s="15">
        <v>100</v>
      </c>
      <c r="H233" s="12" t="s">
        <v>55</v>
      </c>
      <c r="I233" s="12" t="s">
        <v>56</v>
      </c>
      <c r="K233" s="16">
        <v>4.3</v>
      </c>
      <c r="L233" s="16">
        <v>6.86</v>
      </c>
      <c r="M233" s="16">
        <v>8.2799999999999994</v>
      </c>
    </row>
    <row r="234" spans="2:13" ht="33.75" outlineLevel="3" x14ac:dyDescent="0.2">
      <c r="B234" s="4" t="str">
        <f>"0000290100"</f>
        <v>0000290100</v>
      </c>
      <c r="C234" s="5" t="str">
        <f>"101689"</f>
        <v>101689</v>
      </c>
      <c r="D234" s="12" t="s">
        <v>63</v>
      </c>
      <c r="E234" s="14" t="s">
        <v>66</v>
      </c>
      <c r="F234" s="12" t="s">
        <v>3</v>
      </c>
      <c r="G234" s="15">
        <v>100</v>
      </c>
      <c r="H234" s="12" t="s">
        <v>55</v>
      </c>
      <c r="I234" s="12" t="s">
        <v>64</v>
      </c>
      <c r="K234" s="16">
        <v>4.25</v>
      </c>
      <c r="L234" s="16">
        <v>6.78</v>
      </c>
      <c r="M234" s="16">
        <v>8.2799999999999994</v>
      </c>
    </row>
    <row r="235" spans="2:13" outlineLevel="2" x14ac:dyDescent="0.2"/>
    <row r="236" spans="2:13" ht="33.75" outlineLevel="3" x14ac:dyDescent="0.2">
      <c r="B236" s="4" t="str">
        <f>"0000300100"</f>
        <v>0000300100</v>
      </c>
      <c r="C236" s="5" t="str">
        <f>"059307"</f>
        <v>059307</v>
      </c>
      <c r="D236" s="12" t="s">
        <v>65</v>
      </c>
      <c r="E236" s="14" t="s">
        <v>71</v>
      </c>
      <c r="F236" s="12" t="s">
        <v>3</v>
      </c>
      <c r="G236" s="15">
        <v>100</v>
      </c>
      <c r="H236" s="12" t="s">
        <v>55</v>
      </c>
      <c r="I236" s="12" t="s">
        <v>11</v>
      </c>
      <c r="J236" s="2" t="s">
        <v>1400</v>
      </c>
      <c r="K236" s="16">
        <v>6.58</v>
      </c>
      <c r="L236" s="16">
        <v>10.49</v>
      </c>
      <c r="M236" s="16">
        <v>11.99</v>
      </c>
    </row>
    <row r="237" spans="2:13" ht="33.75" outlineLevel="3" x14ac:dyDescent="0.2">
      <c r="B237" s="4" t="str">
        <f>"0000300100"</f>
        <v>0000300100</v>
      </c>
      <c r="C237" s="5" t="str">
        <f>"006073"</f>
        <v>006073</v>
      </c>
      <c r="D237" s="12" t="s">
        <v>67</v>
      </c>
      <c r="E237" s="14" t="s">
        <v>71</v>
      </c>
      <c r="F237" s="12" t="s">
        <v>3</v>
      </c>
      <c r="G237" s="15">
        <v>100</v>
      </c>
      <c r="H237" s="12" t="s">
        <v>55</v>
      </c>
      <c r="I237" s="12" t="s">
        <v>68</v>
      </c>
      <c r="K237" s="16">
        <v>6.58</v>
      </c>
      <c r="L237" s="16">
        <v>10.49</v>
      </c>
      <c r="M237" s="16">
        <v>11.99</v>
      </c>
    </row>
    <row r="238" spans="2:13" ht="33.75" outlineLevel="3" x14ac:dyDescent="0.2">
      <c r="B238" s="4" t="str">
        <f>"0000300100"</f>
        <v>0000300100</v>
      </c>
      <c r="C238" s="5" t="str">
        <f>"544891"</f>
        <v>544891</v>
      </c>
      <c r="D238" s="12" t="s">
        <v>69</v>
      </c>
      <c r="E238" s="14" t="s">
        <v>71</v>
      </c>
      <c r="F238" s="12" t="s">
        <v>3</v>
      </c>
      <c r="G238" s="15">
        <v>100</v>
      </c>
      <c r="H238" s="12" t="s">
        <v>55</v>
      </c>
      <c r="I238" s="12" t="s">
        <v>70</v>
      </c>
      <c r="K238" s="16">
        <v>6.58</v>
      </c>
      <c r="L238" s="16">
        <v>10.49</v>
      </c>
      <c r="M238" s="16">
        <v>11.99</v>
      </c>
    </row>
    <row r="239" spans="2:13" ht="33.75" outlineLevel="3" x14ac:dyDescent="0.2">
      <c r="B239" s="4" t="str">
        <f>"0007580030"</f>
        <v>0007580030</v>
      </c>
      <c r="C239" s="5" t="str">
        <f>"009619"</f>
        <v>009619</v>
      </c>
      <c r="D239" s="12" t="s">
        <v>842</v>
      </c>
      <c r="E239" s="14" t="s">
        <v>66</v>
      </c>
      <c r="F239" s="12" t="s">
        <v>843</v>
      </c>
      <c r="G239" s="15">
        <v>30</v>
      </c>
      <c r="H239" s="12" t="s">
        <v>55</v>
      </c>
      <c r="I239" s="12" t="s">
        <v>39</v>
      </c>
      <c r="K239" s="16">
        <v>1.72</v>
      </c>
      <c r="L239" s="16">
        <v>2.74</v>
      </c>
      <c r="M239" s="16">
        <v>4.24</v>
      </c>
    </row>
    <row r="240" spans="2:13" outlineLevel="3" x14ac:dyDescent="0.2">
      <c r="B240" s="4" t="str">
        <f>"0007580030"</f>
        <v>0007580030</v>
      </c>
      <c r="C240" s="5" t="str">
        <f>"185785"</f>
        <v>185785</v>
      </c>
      <c r="D240" s="12" t="s">
        <v>57</v>
      </c>
      <c r="E240" s="14" t="s">
        <v>66</v>
      </c>
      <c r="F240" s="12" t="s">
        <v>441</v>
      </c>
      <c r="G240" s="15">
        <v>30</v>
      </c>
      <c r="H240" s="12" t="s">
        <v>55</v>
      </c>
      <c r="I240" s="12" t="s">
        <v>58</v>
      </c>
      <c r="K240" s="16">
        <v>1.72</v>
      </c>
      <c r="L240" s="16">
        <v>2.74</v>
      </c>
      <c r="M240" s="16">
        <v>4.24</v>
      </c>
    </row>
    <row r="241" spans="1:13" outlineLevel="2" x14ac:dyDescent="0.2"/>
    <row r="242" spans="1:13" outlineLevel="3" x14ac:dyDescent="0.2">
      <c r="B242" s="4" t="str">
        <f>"0007580100"</f>
        <v>0007580100</v>
      </c>
      <c r="C242" s="5" t="str">
        <f>"494371"</f>
        <v>494371</v>
      </c>
      <c r="D242" s="12" t="s">
        <v>57</v>
      </c>
      <c r="E242" s="14" t="s">
        <v>66</v>
      </c>
      <c r="F242" s="12" t="s">
        <v>441</v>
      </c>
      <c r="G242" s="15">
        <v>100</v>
      </c>
      <c r="H242" s="12" t="s">
        <v>55</v>
      </c>
      <c r="I242" s="12" t="s">
        <v>58</v>
      </c>
      <c r="K242" s="16">
        <v>5.15</v>
      </c>
      <c r="L242" s="16">
        <v>8.2200000000000006</v>
      </c>
      <c r="M242" s="16">
        <v>9.7200000000000006</v>
      </c>
    </row>
    <row r="243" spans="1:13" outlineLevel="3" x14ac:dyDescent="0.2">
      <c r="B243" s="4" t="str">
        <f>"0007580100"</f>
        <v>0007580100</v>
      </c>
      <c r="C243" s="5" t="str">
        <f>"185983"</f>
        <v>185983</v>
      </c>
      <c r="D243" s="12" t="s">
        <v>57</v>
      </c>
      <c r="E243" s="14" t="s">
        <v>66</v>
      </c>
      <c r="F243" s="12" t="s">
        <v>441</v>
      </c>
      <c r="G243" s="15">
        <v>100</v>
      </c>
      <c r="H243" s="12" t="s">
        <v>55</v>
      </c>
      <c r="I243" s="12" t="s">
        <v>58</v>
      </c>
      <c r="K243" s="16">
        <v>5.15</v>
      </c>
      <c r="L243" s="16">
        <v>8.2200000000000006</v>
      </c>
      <c r="M243" s="16">
        <v>9.7200000000000006</v>
      </c>
    </row>
    <row r="244" spans="1:13" ht="33.75" outlineLevel="3" x14ac:dyDescent="0.2">
      <c r="B244" s="4" t="str">
        <f>"0007580100"</f>
        <v>0007580100</v>
      </c>
      <c r="C244" s="5" t="str">
        <f>"451971"</f>
        <v>451971</v>
      </c>
      <c r="D244" s="12" t="s">
        <v>842</v>
      </c>
      <c r="E244" s="14" t="s">
        <v>66</v>
      </c>
      <c r="F244" s="12" t="s">
        <v>843</v>
      </c>
      <c r="G244" s="15">
        <v>100</v>
      </c>
      <c r="H244" s="12" t="s">
        <v>55</v>
      </c>
      <c r="I244" s="12" t="s">
        <v>39</v>
      </c>
      <c r="K244" s="16">
        <v>5.15</v>
      </c>
      <c r="L244" s="16">
        <v>8.2200000000000006</v>
      </c>
      <c r="M244" s="16">
        <v>9.7200000000000006</v>
      </c>
    </row>
    <row r="245" spans="1:13" ht="33.75" outlineLevel="3" x14ac:dyDescent="0.2">
      <c r="B245" s="4" t="str">
        <f>"0007580100"</f>
        <v>0007580100</v>
      </c>
      <c r="C245" s="5" t="str">
        <f>"493232"</f>
        <v>493232</v>
      </c>
      <c r="D245" s="12" t="s">
        <v>842</v>
      </c>
      <c r="E245" s="14" t="s">
        <v>66</v>
      </c>
      <c r="F245" s="12" t="s">
        <v>843</v>
      </c>
      <c r="G245" s="15">
        <v>100</v>
      </c>
      <c r="H245" s="12" t="s">
        <v>55</v>
      </c>
      <c r="I245" s="12" t="s">
        <v>39</v>
      </c>
      <c r="K245" s="16">
        <v>5.15</v>
      </c>
      <c r="L245" s="16">
        <v>8.2200000000000006</v>
      </c>
      <c r="M245" s="16">
        <v>9.7200000000000006</v>
      </c>
    </row>
    <row r="246" spans="1:13" ht="33.75" outlineLevel="3" x14ac:dyDescent="0.2">
      <c r="B246" s="4" t="str">
        <f>"0007590100"</f>
        <v>0007590100</v>
      </c>
      <c r="C246" s="5" t="str">
        <f>"003182"</f>
        <v>003182</v>
      </c>
      <c r="D246" s="12" t="s">
        <v>842</v>
      </c>
      <c r="E246" s="14" t="s">
        <v>263</v>
      </c>
      <c r="F246" s="12" t="s">
        <v>843</v>
      </c>
      <c r="G246" s="15">
        <v>100</v>
      </c>
      <c r="H246" s="12" t="s">
        <v>55</v>
      </c>
      <c r="I246" s="12" t="s">
        <v>39</v>
      </c>
      <c r="K246" s="16">
        <v>6.95</v>
      </c>
      <c r="L246" s="16">
        <v>11.09</v>
      </c>
      <c r="M246" s="16">
        <v>12.59</v>
      </c>
    </row>
    <row r="247" spans="1:13" outlineLevel="3" x14ac:dyDescent="0.2">
      <c r="B247" s="4" t="str">
        <f>"0007590100"</f>
        <v>0007590100</v>
      </c>
      <c r="C247" s="5" t="str">
        <f>"175703"</f>
        <v>175703</v>
      </c>
      <c r="D247" s="12" t="s">
        <v>57</v>
      </c>
      <c r="E247" s="14" t="s">
        <v>263</v>
      </c>
      <c r="F247" s="12" t="s">
        <v>441</v>
      </c>
      <c r="G247" s="15">
        <v>100</v>
      </c>
      <c r="H247" s="12" t="s">
        <v>55</v>
      </c>
      <c r="I247" s="12" t="s">
        <v>58</v>
      </c>
      <c r="K247" s="16">
        <v>6.95</v>
      </c>
      <c r="L247" s="16">
        <v>11.09</v>
      </c>
      <c r="M247" s="16">
        <v>12.59</v>
      </c>
    </row>
    <row r="248" spans="1:13" outlineLevel="3" x14ac:dyDescent="0.2">
      <c r="B248" s="4" t="str">
        <f>"0007590100"</f>
        <v>0007590100</v>
      </c>
      <c r="C248" s="5" t="str">
        <f>"572280"</f>
        <v>572280</v>
      </c>
      <c r="D248" s="12" t="s">
        <v>57</v>
      </c>
      <c r="E248" s="14" t="s">
        <v>263</v>
      </c>
      <c r="F248" s="12" t="s">
        <v>441</v>
      </c>
      <c r="G248" s="15">
        <v>100</v>
      </c>
      <c r="H248" s="12" t="s">
        <v>55</v>
      </c>
      <c r="I248" s="12" t="s">
        <v>58</v>
      </c>
      <c r="K248" s="16">
        <v>6.95</v>
      </c>
      <c r="L248" s="16">
        <v>11.09</v>
      </c>
      <c r="M248" s="16">
        <v>12.59</v>
      </c>
    </row>
    <row r="249" spans="1:13" ht="33.75" outlineLevel="3" x14ac:dyDescent="0.2">
      <c r="B249" s="4" t="str">
        <f>"0007590100"</f>
        <v>0007590100</v>
      </c>
      <c r="C249" s="5" t="str">
        <f>"579874"</f>
        <v>579874</v>
      </c>
      <c r="D249" s="12" t="s">
        <v>842</v>
      </c>
      <c r="E249" s="14" t="s">
        <v>263</v>
      </c>
      <c r="F249" s="12" t="s">
        <v>843</v>
      </c>
      <c r="G249" s="15">
        <v>100</v>
      </c>
      <c r="H249" s="12" t="s">
        <v>55</v>
      </c>
      <c r="I249" s="12" t="s">
        <v>39</v>
      </c>
      <c r="K249" s="16">
        <v>6.95</v>
      </c>
      <c r="L249" s="16">
        <v>11.09</v>
      </c>
      <c r="M249" s="16">
        <v>12.59</v>
      </c>
    </row>
    <row r="250" spans="1:13" outlineLevel="1" x14ac:dyDescent="0.2">
      <c r="A250" s="3"/>
    </row>
    <row r="251" spans="1:13" outlineLevel="2" x14ac:dyDescent="0.2">
      <c r="A251" s="3" t="s">
        <v>1413</v>
      </c>
    </row>
    <row r="252" spans="1:13" outlineLevel="3" x14ac:dyDescent="0.2">
      <c r="B252" s="4" t="str">
        <f>"0006380090"</f>
        <v>0006380090</v>
      </c>
      <c r="C252" s="5" t="str">
        <f>"025595"</f>
        <v>025595</v>
      </c>
      <c r="D252" s="12" t="s">
        <v>740</v>
      </c>
      <c r="E252" s="14" t="s">
        <v>465</v>
      </c>
      <c r="F252" s="12" t="s">
        <v>73</v>
      </c>
      <c r="G252" s="15">
        <v>90</v>
      </c>
      <c r="H252" s="12" t="s">
        <v>741</v>
      </c>
      <c r="I252" s="12" t="s">
        <v>70</v>
      </c>
      <c r="K252" s="16">
        <v>3.25</v>
      </c>
      <c r="L252" s="16">
        <v>5.18</v>
      </c>
      <c r="M252" s="16">
        <v>6.68</v>
      </c>
    </row>
    <row r="253" spans="1:13" outlineLevel="3" x14ac:dyDescent="0.2">
      <c r="B253" s="4" t="str">
        <f>"0006380090"</f>
        <v>0006380090</v>
      </c>
      <c r="C253" s="5" t="str">
        <f>"091751"</f>
        <v>091751</v>
      </c>
      <c r="D253" s="12" t="s">
        <v>742</v>
      </c>
      <c r="E253" s="14" t="s">
        <v>465</v>
      </c>
      <c r="F253" s="12" t="s">
        <v>73</v>
      </c>
      <c r="G253" s="15">
        <v>90</v>
      </c>
      <c r="H253" s="12" t="s">
        <v>741</v>
      </c>
      <c r="I253" s="12" t="s">
        <v>187</v>
      </c>
      <c r="K253" s="16">
        <v>3.25</v>
      </c>
      <c r="L253" s="16">
        <v>5.18</v>
      </c>
      <c r="M253" s="16">
        <v>6.68</v>
      </c>
    </row>
    <row r="254" spans="1:13" outlineLevel="2" x14ac:dyDescent="0.2"/>
    <row r="255" spans="1:13" outlineLevel="3" x14ac:dyDescent="0.2">
      <c r="B255" s="4" t="str">
        <f>"0006400090"</f>
        <v>0006400090</v>
      </c>
      <c r="C255" s="5" t="str">
        <f>"025617"</f>
        <v>025617</v>
      </c>
      <c r="D255" s="12" t="s">
        <v>740</v>
      </c>
      <c r="E255" s="14" t="s">
        <v>514</v>
      </c>
      <c r="F255" s="12" t="s">
        <v>73</v>
      </c>
      <c r="G255" s="15">
        <v>90</v>
      </c>
      <c r="H255" s="12" t="s">
        <v>741</v>
      </c>
      <c r="I255" s="12" t="s">
        <v>70</v>
      </c>
      <c r="K255" s="16">
        <v>5.3</v>
      </c>
      <c r="L255" s="16">
        <v>8.4600000000000009</v>
      </c>
      <c r="M255" s="16">
        <v>9.9600000000000009</v>
      </c>
    </row>
    <row r="256" spans="1:13" outlineLevel="3" x14ac:dyDescent="0.2">
      <c r="B256" s="4" t="str">
        <f>"0006400090"</f>
        <v>0006400090</v>
      </c>
      <c r="C256" s="5" t="str">
        <f>"097881"</f>
        <v>097881</v>
      </c>
      <c r="D256" s="12" t="s">
        <v>742</v>
      </c>
      <c r="E256" s="14" t="s">
        <v>514</v>
      </c>
      <c r="F256" s="12" t="s">
        <v>73</v>
      </c>
      <c r="G256" s="15">
        <v>90</v>
      </c>
      <c r="H256" s="12" t="s">
        <v>741</v>
      </c>
      <c r="I256" s="12" t="s">
        <v>187</v>
      </c>
      <c r="K256" s="16">
        <v>5.3</v>
      </c>
      <c r="L256" s="16">
        <v>8.4600000000000009</v>
      </c>
      <c r="M256" s="16">
        <v>9.9600000000000009</v>
      </c>
    </row>
    <row r="257" spans="1:13" outlineLevel="2" x14ac:dyDescent="0.2"/>
    <row r="258" spans="1:13" outlineLevel="3" x14ac:dyDescent="0.2">
      <c r="B258" s="4" t="str">
        <f>"0006440090"</f>
        <v>0006440090</v>
      </c>
      <c r="C258" s="5" t="str">
        <f>"004586"</f>
        <v>004586</v>
      </c>
      <c r="D258" s="12" t="s">
        <v>742</v>
      </c>
      <c r="E258" s="14" t="s">
        <v>179</v>
      </c>
      <c r="F258" s="12" t="s">
        <v>73</v>
      </c>
      <c r="G258" s="15">
        <v>90</v>
      </c>
      <c r="H258" s="12" t="s">
        <v>741</v>
      </c>
      <c r="I258" s="12" t="s">
        <v>187</v>
      </c>
      <c r="K258" s="16">
        <v>6.4</v>
      </c>
      <c r="L258" s="16">
        <v>10.210000000000001</v>
      </c>
      <c r="M258" s="16">
        <v>11.71</v>
      </c>
    </row>
    <row r="259" spans="1:13" outlineLevel="3" x14ac:dyDescent="0.2">
      <c r="B259" s="4" t="str">
        <f>"0006440090"</f>
        <v>0006440090</v>
      </c>
      <c r="C259" s="5" t="str">
        <f>"025628"</f>
        <v>025628</v>
      </c>
      <c r="D259" s="12" t="s">
        <v>740</v>
      </c>
      <c r="E259" s="14" t="s">
        <v>179</v>
      </c>
      <c r="F259" s="12" t="s">
        <v>73</v>
      </c>
      <c r="G259" s="15">
        <v>90</v>
      </c>
      <c r="H259" s="12" t="s">
        <v>741</v>
      </c>
      <c r="I259" s="12" t="s">
        <v>70</v>
      </c>
      <c r="K259" s="16">
        <v>6.4</v>
      </c>
      <c r="L259" s="16">
        <v>10.210000000000001</v>
      </c>
      <c r="M259" s="16">
        <v>11.71</v>
      </c>
    </row>
    <row r="260" spans="1:13" outlineLevel="1" x14ac:dyDescent="0.2">
      <c r="A260" s="3"/>
    </row>
    <row r="261" spans="1:13" outlineLevel="2" x14ac:dyDescent="0.2">
      <c r="A261" s="3" t="s">
        <v>1414</v>
      </c>
    </row>
    <row r="262" spans="1:13" outlineLevel="3" x14ac:dyDescent="0.2">
      <c r="B262" s="4" t="str">
        <f>"0000400030"</f>
        <v>0000400030</v>
      </c>
      <c r="C262" s="5" t="str">
        <f>"023695"</f>
        <v>023695</v>
      </c>
      <c r="D262" s="12" t="s">
        <v>72</v>
      </c>
      <c r="E262" s="14" t="s">
        <v>31</v>
      </c>
      <c r="F262" s="12" t="s">
        <v>73</v>
      </c>
      <c r="G262" s="15">
        <v>28</v>
      </c>
      <c r="H262" s="12" t="s">
        <v>74</v>
      </c>
      <c r="I262" s="12" t="s">
        <v>76</v>
      </c>
      <c r="J262" s="2" t="s">
        <v>1400</v>
      </c>
      <c r="K262" s="16">
        <v>6.51</v>
      </c>
      <c r="L262" s="16">
        <v>10.38</v>
      </c>
      <c r="M262" s="16">
        <v>5.25</v>
      </c>
    </row>
    <row r="263" spans="1:13" outlineLevel="3" x14ac:dyDescent="0.2">
      <c r="B263" s="4" t="str">
        <f>"0000400030"</f>
        <v>0000400030</v>
      </c>
      <c r="C263" s="5" t="str">
        <f>"003809"</f>
        <v>003809</v>
      </c>
      <c r="D263" s="12" t="s">
        <v>72</v>
      </c>
      <c r="E263" s="14" t="s">
        <v>31</v>
      </c>
      <c r="F263" s="12" t="s">
        <v>73</v>
      </c>
      <c r="G263" s="15">
        <v>28</v>
      </c>
      <c r="H263" s="12" t="s">
        <v>74</v>
      </c>
      <c r="I263" s="12" t="s">
        <v>77</v>
      </c>
      <c r="K263" s="16">
        <v>3.39</v>
      </c>
      <c r="L263" s="16">
        <v>5.41</v>
      </c>
      <c r="M263" s="16">
        <v>5.25</v>
      </c>
    </row>
    <row r="264" spans="1:13" outlineLevel="3" x14ac:dyDescent="0.2">
      <c r="B264" s="4" t="str">
        <f>"0000400030"</f>
        <v>0000400030</v>
      </c>
      <c r="C264" s="5" t="str">
        <f>"014642"</f>
        <v>014642</v>
      </c>
      <c r="D264" s="12" t="s">
        <v>72</v>
      </c>
      <c r="E264" s="14" t="s">
        <v>31</v>
      </c>
      <c r="F264" s="12" t="s">
        <v>73</v>
      </c>
      <c r="G264" s="15">
        <v>28</v>
      </c>
      <c r="H264" s="12" t="s">
        <v>74</v>
      </c>
      <c r="I264" s="12" t="s">
        <v>75</v>
      </c>
      <c r="J264" s="2" t="s">
        <v>1400</v>
      </c>
      <c r="K264" s="16">
        <v>2.4500000000000002</v>
      </c>
      <c r="L264" s="16">
        <v>3.91</v>
      </c>
      <c r="M264" s="16">
        <v>5.25</v>
      </c>
    </row>
    <row r="265" spans="1:13" ht="22.5" outlineLevel="3" x14ac:dyDescent="0.2">
      <c r="B265" s="4" t="str">
        <f>"0000400030"</f>
        <v>0000400030</v>
      </c>
      <c r="C265" s="5" t="str">
        <f>"133722"</f>
        <v>133722</v>
      </c>
      <c r="D265" s="12" t="s">
        <v>78</v>
      </c>
      <c r="E265" s="14" t="s">
        <v>31</v>
      </c>
      <c r="F265" s="12" t="s">
        <v>73</v>
      </c>
      <c r="G265" s="15">
        <v>30</v>
      </c>
      <c r="H265" s="12" t="s">
        <v>74</v>
      </c>
      <c r="I265" s="12" t="s">
        <v>79</v>
      </c>
      <c r="K265" s="16">
        <v>2.35</v>
      </c>
      <c r="L265" s="16">
        <v>3.75</v>
      </c>
      <c r="M265" s="16">
        <v>5.25</v>
      </c>
    </row>
    <row r="266" spans="1:13" outlineLevel="2" x14ac:dyDescent="0.2"/>
    <row r="267" spans="1:13" ht="22.5" outlineLevel="3" x14ac:dyDescent="0.2">
      <c r="B267" s="4" t="str">
        <f>"0000400100"</f>
        <v>0000400100</v>
      </c>
      <c r="C267" s="5" t="str">
        <f>"487341"</f>
        <v>487341</v>
      </c>
      <c r="D267" s="12" t="s">
        <v>80</v>
      </c>
      <c r="E267" s="14" t="s">
        <v>31</v>
      </c>
      <c r="F267" s="12" t="s">
        <v>73</v>
      </c>
      <c r="G267" s="15">
        <v>98</v>
      </c>
      <c r="H267" s="12" t="s">
        <v>74</v>
      </c>
      <c r="I267" s="12" t="s">
        <v>68</v>
      </c>
      <c r="K267" s="16">
        <v>68.33</v>
      </c>
      <c r="L267" s="16">
        <v>100.05</v>
      </c>
      <c r="M267" s="16">
        <v>102.05</v>
      </c>
    </row>
    <row r="268" spans="1:13" ht="22.5" outlineLevel="3" x14ac:dyDescent="0.2">
      <c r="B268" s="4" t="str">
        <f>"0000400100"</f>
        <v>0000400100</v>
      </c>
      <c r="C268" s="5" t="str">
        <f>"593379"</f>
        <v>593379</v>
      </c>
      <c r="D268" s="12" t="s">
        <v>78</v>
      </c>
      <c r="E268" s="14" t="s">
        <v>31</v>
      </c>
      <c r="F268" s="12" t="s">
        <v>73</v>
      </c>
      <c r="G268" s="15">
        <v>98</v>
      </c>
      <c r="H268" s="12" t="s">
        <v>74</v>
      </c>
      <c r="I268" s="12" t="s">
        <v>79</v>
      </c>
      <c r="K268" s="16">
        <v>68.33</v>
      </c>
      <c r="L268" s="16">
        <v>100.05</v>
      </c>
      <c r="M268" s="16">
        <v>102.05</v>
      </c>
    </row>
    <row r="269" spans="1:13" outlineLevel="2" x14ac:dyDescent="0.2"/>
    <row r="270" spans="1:13" ht="22.5" outlineLevel="3" x14ac:dyDescent="0.2">
      <c r="B270" s="4" t="str">
        <f>"0010370030"</f>
        <v>0010370030</v>
      </c>
      <c r="C270" s="5" t="str">
        <f>"050592"</f>
        <v>050592</v>
      </c>
      <c r="D270" s="12" t="s">
        <v>80</v>
      </c>
      <c r="E270" s="14" t="s">
        <v>25</v>
      </c>
      <c r="F270" s="12" t="s">
        <v>73</v>
      </c>
      <c r="G270" s="15">
        <v>28</v>
      </c>
      <c r="H270" s="12" t="s">
        <v>74</v>
      </c>
      <c r="I270" s="12" t="s">
        <v>68</v>
      </c>
      <c r="K270" s="16">
        <v>9.32</v>
      </c>
      <c r="L270" s="16">
        <v>14.85</v>
      </c>
      <c r="M270" s="16">
        <v>16.350000000000001</v>
      </c>
    </row>
    <row r="271" spans="1:13" ht="22.5" outlineLevel="3" x14ac:dyDescent="0.2">
      <c r="B271" s="4" t="str">
        <f>"0010370030"</f>
        <v>0010370030</v>
      </c>
      <c r="C271" s="5" t="str">
        <f>"425881"</f>
        <v>425881</v>
      </c>
      <c r="D271" s="12" t="s">
        <v>78</v>
      </c>
      <c r="E271" s="14" t="s">
        <v>25</v>
      </c>
      <c r="F271" s="12" t="s">
        <v>73</v>
      </c>
      <c r="G271" s="15">
        <v>30</v>
      </c>
      <c r="H271" s="12" t="s">
        <v>74</v>
      </c>
      <c r="I271" s="12" t="s">
        <v>79</v>
      </c>
      <c r="J271" s="2" t="s">
        <v>1400</v>
      </c>
      <c r="K271" s="16">
        <v>8.3699999999999992</v>
      </c>
      <c r="L271" s="16">
        <v>13.35</v>
      </c>
      <c r="M271" s="16">
        <v>16.350000000000001</v>
      </c>
    </row>
    <row r="272" spans="1:13" outlineLevel="2" x14ac:dyDescent="0.2"/>
    <row r="273" spans="1:13" outlineLevel="3" x14ac:dyDescent="0.2">
      <c r="B273" s="4" t="str">
        <f>"0010370100"</f>
        <v>0010370100</v>
      </c>
      <c r="C273" s="5" t="str">
        <f>"017739"</f>
        <v>017739</v>
      </c>
      <c r="D273" s="12" t="s">
        <v>72</v>
      </c>
      <c r="E273" s="14" t="s">
        <v>25</v>
      </c>
      <c r="F273" s="12" t="s">
        <v>73</v>
      </c>
      <c r="G273" s="15">
        <v>98</v>
      </c>
      <c r="H273" s="12" t="s">
        <v>74</v>
      </c>
      <c r="I273" s="12" t="s">
        <v>75</v>
      </c>
      <c r="J273" s="2" t="s">
        <v>1400</v>
      </c>
      <c r="K273" s="16">
        <v>8.3800000000000008</v>
      </c>
      <c r="L273" s="16">
        <v>13.37</v>
      </c>
      <c r="M273" s="16">
        <v>14.87</v>
      </c>
    </row>
    <row r="274" spans="1:13" ht="22.5" outlineLevel="3" x14ac:dyDescent="0.2">
      <c r="B274" s="4" t="str">
        <f>"0010370100"</f>
        <v>0010370100</v>
      </c>
      <c r="C274" s="5" t="str">
        <f>"199319"</f>
        <v>199319</v>
      </c>
      <c r="D274" s="12" t="s">
        <v>78</v>
      </c>
      <c r="E274" s="14" t="s">
        <v>25</v>
      </c>
      <c r="F274" s="12" t="s">
        <v>73</v>
      </c>
      <c r="G274" s="15">
        <v>98</v>
      </c>
      <c r="H274" s="12" t="s">
        <v>74</v>
      </c>
      <c r="I274" s="12" t="s">
        <v>79</v>
      </c>
      <c r="K274" s="16">
        <v>8.3800000000000008</v>
      </c>
      <c r="L274" s="16">
        <v>13.37</v>
      </c>
      <c r="M274" s="16">
        <v>14.87</v>
      </c>
    </row>
    <row r="275" spans="1:13" ht="22.5" outlineLevel="3" x14ac:dyDescent="0.2">
      <c r="B275" s="4" t="str">
        <f>"0010370100"</f>
        <v>0010370100</v>
      </c>
      <c r="C275" s="5" t="str">
        <f>"496468"</f>
        <v>496468</v>
      </c>
      <c r="D275" s="12" t="s">
        <v>80</v>
      </c>
      <c r="E275" s="14" t="s">
        <v>25</v>
      </c>
      <c r="F275" s="12" t="s">
        <v>73</v>
      </c>
      <c r="G275" s="15">
        <v>98</v>
      </c>
      <c r="H275" s="12" t="s">
        <v>74</v>
      </c>
      <c r="I275" s="12" t="s">
        <v>68</v>
      </c>
      <c r="K275" s="16">
        <v>8.3800000000000008</v>
      </c>
      <c r="L275" s="16">
        <v>13.37</v>
      </c>
      <c r="M275" s="16">
        <v>14.87</v>
      </c>
    </row>
    <row r="276" spans="1:13" outlineLevel="1" x14ac:dyDescent="0.2">
      <c r="A276" s="3"/>
    </row>
    <row r="277" spans="1:13" outlineLevel="2" x14ac:dyDescent="0.2">
      <c r="A277" s="3" t="s">
        <v>1415</v>
      </c>
    </row>
    <row r="278" spans="1:13" ht="22.5" outlineLevel="3" x14ac:dyDescent="0.2">
      <c r="B278" s="4" t="str">
        <f>"0010390090"</f>
        <v>0010390090</v>
      </c>
      <c r="C278" s="5" t="str">
        <f>"101318"</f>
        <v>101318</v>
      </c>
      <c r="D278" s="12" t="s">
        <v>1047</v>
      </c>
      <c r="E278" s="14" t="s">
        <v>464</v>
      </c>
      <c r="F278" s="12" t="s">
        <v>73</v>
      </c>
      <c r="G278" s="15">
        <v>90</v>
      </c>
      <c r="H278" s="12" t="s">
        <v>1048</v>
      </c>
      <c r="I278" s="12" t="s">
        <v>68</v>
      </c>
      <c r="K278" s="16">
        <v>2.29</v>
      </c>
      <c r="L278" s="16">
        <v>3.65</v>
      </c>
      <c r="M278" s="16">
        <v>3.66</v>
      </c>
    </row>
    <row r="279" spans="1:13" ht="22.5" outlineLevel="3" x14ac:dyDescent="0.2">
      <c r="B279" s="4" t="str">
        <f>"0010390090"</f>
        <v>0010390090</v>
      </c>
      <c r="C279" s="5" t="str">
        <f>"164800"</f>
        <v>164800</v>
      </c>
      <c r="D279" s="12" t="s">
        <v>1050</v>
      </c>
      <c r="E279" s="14" t="s">
        <v>464</v>
      </c>
      <c r="F279" s="12" t="s">
        <v>73</v>
      </c>
      <c r="G279" s="15">
        <v>90</v>
      </c>
      <c r="H279" s="12" t="s">
        <v>1048</v>
      </c>
      <c r="I279" s="12" t="s">
        <v>509</v>
      </c>
      <c r="K279" s="16">
        <v>2.29</v>
      </c>
      <c r="L279" s="16">
        <v>3.65</v>
      </c>
      <c r="M279" s="16">
        <v>3.66</v>
      </c>
    </row>
    <row r="280" spans="1:13" ht="22.5" outlineLevel="3" x14ac:dyDescent="0.2">
      <c r="B280" s="4" t="str">
        <f>"0010390090"</f>
        <v>0010390090</v>
      </c>
      <c r="C280" s="5" t="str">
        <f>"104623"</f>
        <v>104623</v>
      </c>
      <c r="D280" s="12" t="s">
        <v>1049</v>
      </c>
      <c r="E280" s="14" t="s">
        <v>464</v>
      </c>
      <c r="F280" s="12" t="s">
        <v>73</v>
      </c>
      <c r="G280" s="15">
        <v>90</v>
      </c>
      <c r="H280" s="12" t="s">
        <v>1048</v>
      </c>
      <c r="I280" s="12" t="s">
        <v>60</v>
      </c>
      <c r="K280" s="16">
        <v>2.1</v>
      </c>
      <c r="L280" s="16">
        <v>3.36</v>
      </c>
      <c r="M280" s="16">
        <v>3.66</v>
      </c>
    </row>
    <row r="281" spans="1:13" ht="22.5" outlineLevel="3" x14ac:dyDescent="0.2">
      <c r="B281" s="4" t="str">
        <f>"0010390090"</f>
        <v>0010390090</v>
      </c>
      <c r="C281" s="5" t="str">
        <f>"507367"</f>
        <v>507367</v>
      </c>
      <c r="D281" s="12" t="s">
        <v>1051</v>
      </c>
      <c r="E281" s="14" t="s">
        <v>464</v>
      </c>
      <c r="F281" s="12" t="s">
        <v>73</v>
      </c>
      <c r="G281" s="15">
        <v>90</v>
      </c>
      <c r="H281" s="12" t="s">
        <v>1048</v>
      </c>
      <c r="I281" s="12" t="s">
        <v>79</v>
      </c>
      <c r="K281" s="16">
        <v>1.35</v>
      </c>
      <c r="L281" s="16">
        <v>2.16</v>
      </c>
      <c r="M281" s="16">
        <v>3.66</v>
      </c>
    </row>
    <row r="282" spans="1:13" outlineLevel="2" x14ac:dyDescent="0.2"/>
    <row r="283" spans="1:13" ht="22.5" outlineLevel="3" x14ac:dyDescent="0.2">
      <c r="B283" s="4" t="str">
        <f>"0010400090"</f>
        <v>0010400090</v>
      </c>
      <c r="C283" s="5" t="str">
        <f>"039168"</f>
        <v>039168</v>
      </c>
      <c r="D283" s="12" t="s">
        <v>1050</v>
      </c>
      <c r="E283" s="14" t="s">
        <v>465</v>
      </c>
      <c r="F283" s="12" t="s">
        <v>73</v>
      </c>
      <c r="G283" s="15">
        <v>90</v>
      </c>
      <c r="H283" s="12" t="s">
        <v>1048</v>
      </c>
      <c r="I283" s="12" t="s">
        <v>509</v>
      </c>
      <c r="K283" s="16">
        <v>2.29</v>
      </c>
      <c r="L283" s="16">
        <v>3.65</v>
      </c>
      <c r="M283" s="16">
        <v>3.66</v>
      </c>
    </row>
    <row r="284" spans="1:13" ht="22.5" outlineLevel="3" x14ac:dyDescent="0.2">
      <c r="B284" s="4" t="str">
        <f>"0010400090"</f>
        <v>0010400090</v>
      </c>
      <c r="C284" s="5" t="str">
        <f>"101330"</f>
        <v>101330</v>
      </c>
      <c r="D284" s="12" t="s">
        <v>1047</v>
      </c>
      <c r="E284" s="14" t="s">
        <v>465</v>
      </c>
      <c r="F284" s="12" t="s">
        <v>73</v>
      </c>
      <c r="G284" s="15">
        <v>90</v>
      </c>
      <c r="H284" s="12" t="s">
        <v>1048</v>
      </c>
      <c r="I284" s="12" t="s">
        <v>68</v>
      </c>
      <c r="K284" s="16">
        <v>2.29</v>
      </c>
      <c r="L284" s="16">
        <v>3.65</v>
      </c>
      <c r="M284" s="16">
        <v>3.66</v>
      </c>
    </row>
    <row r="285" spans="1:13" ht="22.5" outlineLevel="3" x14ac:dyDescent="0.2">
      <c r="B285" s="4" t="str">
        <f>"0010400090"</f>
        <v>0010400090</v>
      </c>
      <c r="C285" s="5" t="str">
        <f>"125912"</f>
        <v>125912</v>
      </c>
      <c r="D285" s="12" t="s">
        <v>1049</v>
      </c>
      <c r="E285" s="14" t="s">
        <v>465</v>
      </c>
      <c r="F285" s="12" t="s">
        <v>73</v>
      </c>
      <c r="G285" s="15">
        <v>90</v>
      </c>
      <c r="H285" s="12" t="s">
        <v>1048</v>
      </c>
      <c r="I285" s="12" t="s">
        <v>60</v>
      </c>
      <c r="K285" s="16">
        <v>2.1</v>
      </c>
      <c r="L285" s="16">
        <v>3.36</v>
      </c>
      <c r="M285" s="16">
        <v>3.66</v>
      </c>
    </row>
    <row r="286" spans="1:13" ht="22.5" outlineLevel="3" x14ac:dyDescent="0.2">
      <c r="B286" s="4" t="str">
        <f>"0010400090"</f>
        <v>0010400090</v>
      </c>
      <c r="C286" s="5" t="str">
        <f>"394357"</f>
        <v>394357</v>
      </c>
      <c r="D286" s="12" t="s">
        <v>1051</v>
      </c>
      <c r="E286" s="14" t="s">
        <v>465</v>
      </c>
      <c r="F286" s="12" t="s">
        <v>73</v>
      </c>
      <c r="G286" s="15">
        <v>90</v>
      </c>
      <c r="H286" s="12" t="s">
        <v>1048</v>
      </c>
      <c r="I286" s="12" t="s">
        <v>79</v>
      </c>
      <c r="K286" s="16">
        <v>1.35</v>
      </c>
      <c r="L286" s="16">
        <v>2.16</v>
      </c>
      <c r="M286" s="16">
        <v>3.66</v>
      </c>
    </row>
    <row r="287" spans="1:13" outlineLevel="2" x14ac:dyDescent="0.2"/>
    <row r="288" spans="1:13" ht="22.5" outlineLevel="3" x14ac:dyDescent="0.2">
      <c r="B288" s="4" t="str">
        <f>"0010410090"</f>
        <v>0010410090</v>
      </c>
      <c r="C288" s="5" t="str">
        <f>"101341"</f>
        <v>101341</v>
      </c>
      <c r="D288" s="12" t="s">
        <v>1047</v>
      </c>
      <c r="E288" s="14" t="s">
        <v>649</v>
      </c>
      <c r="F288" s="12" t="s">
        <v>73</v>
      </c>
      <c r="G288" s="15">
        <v>90</v>
      </c>
      <c r="H288" s="12" t="s">
        <v>1048</v>
      </c>
      <c r="I288" s="12" t="s">
        <v>68</v>
      </c>
      <c r="K288" s="16">
        <v>3.23</v>
      </c>
      <c r="L288" s="16">
        <v>5.15</v>
      </c>
      <c r="M288" s="16">
        <v>3.66</v>
      </c>
    </row>
    <row r="289" spans="1:13" ht="22.5" outlineLevel="3" x14ac:dyDescent="0.2">
      <c r="B289" s="4" t="str">
        <f>"0010410090"</f>
        <v>0010410090</v>
      </c>
      <c r="C289" s="5" t="str">
        <f>"431948"</f>
        <v>431948</v>
      </c>
      <c r="D289" s="12" t="s">
        <v>1050</v>
      </c>
      <c r="E289" s="14" t="s">
        <v>649</v>
      </c>
      <c r="F289" s="12" t="s">
        <v>73</v>
      </c>
      <c r="G289" s="15">
        <v>90</v>
      </c>
      <c r="H289" s="12" t="s">
        <v>1048</v>
      </c>
      <c r="I289" s="12" t="s">
        <v>509</v>
      </c>
      <c r="K289" s="16">
        <v>3.23</v>
      </c>
      <c r="L289" s="16">
        <v>5.15</v>
      </c>
      <c r="M289" s="16">
        <v>3.66</v>
      </c>
    </row>
    <row r="290" spans="1:13" ht="22.5" outlineLevel="3" x14ac:dyDescent="0.2">
      <c r="B290" s="4" t="str">
        <f>"0010410090"</f>
        <v>0010410090</v>
      </c>
      <c r="C290" s="5" t="str">
        <f>"170978"</f>
        <v>170978</v>
      </c>
      <c r="D290" s="12" t="s">
        <v>1049</v>
      </c>
      <c r="E290" s="14" t="s">
        <v>649</v>
      </c>
      <c r="F290" s="12" t="s">
        <v>73</v>
      </c>
      <c r="G290" s="15">
        <v>90</v>
      </c>
      <c r="H290" s="12" t="s">
        <v>1048</v>
      </c>
      <c r="I290" s="12" t="s">
        <v>60</v>
      </c>
      <c r="K290" s="16">
        <v>3.19</v>
      </c>
      <c r="L290" s="16">
        <v>5.09</v>
      </c>
      <c r="M290" s="16">
        <v>3.66</v>
      </c>
    </row>
    <row r="291" spans="1:13" ht="22.5" outlineLevel="3" x14ac:dyDescent="0.2">
      <c r="B291" s="4" t="str">
        <f>"0010410090"</f>
        <v>0010410090</v>
      </c>
      <c r="C291" s="5" t="str">
        <f>"590852"</f>
        <v>590852</v>
      </c>
      <c r="D291" s="12" t="s">
        <v>1051</v>
      </c>
      <c r="E291" s="14" t="s">
        <v>649</v>
      </c>
      <c r="F291" s="12" t="s">
        <v>73</v>
      </c>
      <c r="G291" s="15">
        <v>90</v>
      </c>
      <c r="H291" s="12" t="s">
        <v>1048</v>
      </c>
      <c r="I291" s="12" t="s">
        <v>79</v>
      </c>
      <c r="K291" s="16">
        <v>1.35</v>
      </c>
      <c r="L291" s="16">
        <v>2.16</v>
      </c>
      <c r="M291" s="16">
        <v>3.66</v>
      </c>
    </row>
    <row r="292" spans="1:13" outlineLevel="2" x14ac:dyDescent="0.2">
      <c r="A292" s="3" t="s">
        <v>1416</v>
      </c>
    </row>
    <row r="293" spans="1:13" ht="22.5" outlineLevel="3" x14ac:dyDescent="0.2">
      <c r="B293" s="4" t="str">
        <f>"0012870100"</f>
        <v>0012870100</v>
      </c>
      <c r="C293" s="5" t="str">
        <f>"419242"</f>
        <v>419242</v>
      </c>
      <c r="D293" s="12" t="s">
        <v>1219</v>
      </c>
      <c r="E293" s="14" t="s">
        <v>1220</v>
      </c>
      <c r="F293" s="12" t="s">
        <v>822</v>
      </c>
      <c r="G293" s="15">
        <v>100</v>
      </c>
      <c r="H293" s="12" t="s">
        <v>1221</v>
      </c>
      <c r="I293" s="12" t="s">
        <v>1018</v>
      </c>
      <c r="K293" s="16">
        <v>13.24</v>
      </c>
      <c r="L293" s="16">
        <v>20.67</v>
      </c>
      <c r="M293" s="16">
        <v>19.79</v>
      </c>
    </row>
    <row r="294" spans="1:13" ht="22.5" outlineLevel="3" x14ac:dyDescent="0.2">
      <c r="B294" s="4" t="str">
        <f>"0012870100"</f>
        <v>0012870100</v>
      </c>
      <c r="C294" s="5" t="str">
        <f>"575192"</f>
        <v>575192</v>
      </c>
      <c r="D294" s="12" t="s">
        <v>1222</v>
      </c>
      <c r="E294" s="14" t="s">
        <v>1220</v>
      </c>
      <c r="F294" s="12" t="s">
        <v>822</v>
      </c>
      <c r="G294" s="15">
        <v>100</v>
      </c>
      <c r="H294" s="12" t="s">
        <v>1221</v>
      </c>
      <c r="I294" s="12" t="s">
        <v>293</v>
      </c>
      <c r="K294" s="16">
        <v>11.64</v>
      </c>
      <c r="L294" s="16">
        <v>18.29</v>
      </c>
      <c r="M294" s="16">
        <v>19.79</v>
      </c>
    </row>
    <row r="295" spans="1:13" outlineLevel="2" x14ac:dyDescent="0.2"/>
    <row r="296" spans="1:13" ht="22.5" outlineLevel="3" x14ac:dyDescent="0.2">
      <c r="B296" s="4" t="str">
        <f>"0012880100"</f>
        <v>0012880100</v>
      </c>
      <c r="C296" s="5" t="str">
        <f>"546507"</f>
        <v>546507</v>
      </c>
      <c r="D296" s="12" t="s">
        <v>1219</v>
      </c>
      <c r="E296" s="14" t="s">
        <v>1223</v>
      </c>
      <c r="F296" s="12" t="s">
        <v>822</v>
      </c>
      <c r="G296" s="15">
        <v>100</v>
      </c>
      <c r="H296" s="12" t="s">
        <v>1221</v>
      </c>
      <c r="I296" s="12" t="s">
        <v>1018</v>
      </c>
      <c r="K296" s="16">
        <v>22.64</v>
      </c>
      <c r="L296" s="16">
        <v>34.630000000000003</v>
      </c>
      <c r="M296" s="16">
        <v>33.69</v>
      </c>
    </row>
    <row r="297" spans="1:13" ht="22.5" outlineLevel="3" x14ac:dyDescent="0.2">
      <c r="B297" s="4" t="str">
        <f>"0012880100"</f>
        <v>0012880100</v>
      </c>
      <c r="C297" s="5" t="str">
        <f>"140310"</f>
        <v>140310</v>
      </c>
      <c r="D297" s="12" t="s">
        <v>1222</v>
      </c>
      <c r="E297" s="14" t="s">
        <v>1223</v>
      </c>
      <c r="F297" s="12" t="s">
        <v>822</v>
      </c>
      <c r="G297" s="15">
        <v>100</v>
      </c>
      <c r="H297" s="12" t="s">
        <v>1221</v>
      </c>
      <c r="I297" s="12" t="s">
        <v>293</v>
      </c>
      <c r="K297" s="16">
        <v>20.99</v>
      </c>
      <c r="L297" s="16">
        <v>32.19</v>
      </c>
      <c r="M297" s="16">
        <v>33.69</v>
      </c>
    </row>
    <row r="298" spans="1:13" outlineLevel="2" x14ac:dyDescent="0.2"/>
    <row r="299" spans="1:13" ht="22.5" outlineLevel="3" x14ac:dyDescent="0.2">
      <c r="B299" s="4" t="str">
        <f>"0012890100"</f>
        <v>0012890100</v>
      </c>
      <c r="C299" s="5" t="str">
        <f>"511079"</f>
        <v>511079</v>
      </c>
      <c r="D299" s="12" t="s">
        <v>1222</v>
      </c>
      <c r="E299" s="14" t="s">
        <v>1224</v>
      </c>
      <c r="F299" s="12" t="s">
        <v>822</v>
      </c>
      <c r="G299" s="15">
        <v>100</v>
      </c>
      <c r="H299" s="12" t="s">
        <v>1221</v>
      </c>
      <c r="I299" s="12" t="s">
        <v>293</v>
      </c>
      <c r="K299" s="16">
        <v>32.65</v>
      </c>
      <c r="L299" s="16">
        <v>49.5</v>
      </c>
      <c r="M299" s="16">
        <v>51.5</v>
      </c>
    </row>
    <row r="300" spans="1:13" outlineLevel="1" x14ac:dyDescent="0.2">
      <c r="A300" s="3"/>
    </row>
    <row r="301" spans="1:13" outlineLevel="2" x14ac:dyDescent="0.2">
      <c r="A301" s="3" t="s">
        <v>1417</v>
      </c>
    </row>
    <row r="302" spans="1:13" ht="67.5" outlineLevel="3" x14ac:dyDescent="0.2">
      <c r="B302" s="4" t="str">
        <f>"0005670180"</f>
        <v>0005670180</v>
      </c>
      <c r="C302" s="5" t="str">
        <f>"019874"</f>
        <v>019874</v>
      </c>
      <c r="D302" s="12" t="s">
        <v>687</v>
      </c>
      <c r="E302" s="14" t="s">
        <v>688</v>
      </c>
      <c r="F302" s="12" t="s">
        <v>689</v>
      </c>
      <c r="G302" s="15">
        <v>180</v>
      </c>
      <c r="H302" s="12" t="s">
        <v>690</v>
      </c>
      <c r="I302" s="12" t="s">
        <v>39</v>
      </c>
      <c r="K302" s="16">
        <v>11.7</v>
      </c>
      <c r="L302" s="16">
        <v>18.39</v>
      </c>
      <c r="M302" s="16">
        <v>19.89</v>
      </c>
    </row>
    <row r="303" spans="1:13" ht="67.5" outlineLevel="3" x14ac:dyDescent="0.2">
      <c r="B303" s="4" t="str">
        <f>"0005670180"</f>
        <v>0005670180</v>
      </c>
      <c r="C303" s="5" t="str">
        <f>"022222"</f>
        <v>022222</v>
      </c>
      <c r="D303" s="12" t="s">
        <v>691</v>
      </c>
      <c r="E303" s="14" t="s">
        <v>688</v>
      </c>
      <c r="F303" s="12" t="s">
        <v>689</v>
      </c>
      <c r="G303" s="15">
        <v>180</v>
      </c>
      <c r="H303" s="12" t="s">
        <v>690</v>
      </c>
      <c r="I303" s="12" t="s">
        <v>39</v>
      </c>
      <c r="K303" s="16">
        <v>11.7</v>
      </c>
      <c r="L303" s="16">
        <v>18.39</v>
      </c>
      <c r="M303" s="16">
        <v>19.89</v>
      </c>
    </row>
    <row r="304" spans="1:13" outlineLevel="2" x14ac:dyDescent="0.2"/>
    <row r="305" spans="1:13" ht="67.5" outlineLevel="3" x14ac:dyDescent="0.2">
      <c r="B305" s="4" t="str">
        <f>"0008830090"</f>
        <v>0008830090</v>
      </c>
      <c r="C305" s="5" t="str">
        <f>"001007"</f>
        <v>001007</v>
      </c>
      <c r="D305" s="12" t="s">
        <v>937</v>
      </c>
      <c r="E305" s="14" t="s">
        <v>938</v>
      </c>
      <c r="F305" s="12" t="s">
        <v>3</v>
      </c>
      <c r="G305" s="15">
        <v>90</v>
      </c>
      <c r="H305" s="12" t="s">
        <v>690</v>
      </c>
      <c r="I305" s="12" t="s">
        <v>939</v>
      </c>
      <c r="K305" s="16">
        <v>6.84</v>
      </c>
      <c r="L305" s="16">
        <v>10.91</v>
      </c>
      <c r="M305" s="16">
        <v>12.41</v>
      </c>
    </row>
    <row r="306" spans="1:13" ht="67.5" outlineLevel="3" x14ac:dyDescent="0.2">
      <c r="B306" s="4" t="str">
        <f>"0008830090"</f>
        <v>0008830090</v>
      </c>
      <c r="C306" s="5" t="str">
        <f>"122444"</f>
        <v>122444</v>
      </c>
      <c r="D306" s="12" t="s">
        <v>940</v>
      </c>
      <c r="E306" s="14" t="s">
        <v>938</v>
      </c>
      <c r="F306" s="12" t="s">
        <v>3</v>
      </c>
      <c r="G306" s="15">
        <v>90</v>
      </c>
      <c r="H306" s="12" t="s">
        <v>690</v>
      </c>
      <c r="I306" s="12" t="s">
        <v>939</v>
      </c>
      <c r="K306" s="16">
        <v>6.84</v>
      </c>
      <c r="L306" s="16">
        <v>10.91</v>
      </c>
      <c r="M306" s="16">
        <v>12.41</v>
      </c>
    </row>
    <row r="307" spans="1:13" outlineLevel="2" x14ac:dyDescent="0.2"/>
    <row r="308" spans="1:13" ht="67.5" outlineLevel="3" x14ac:dyDescent="0.2">
      <c r="B308" s="4" t="str">
        <f>"0008830180"</f>
        <v>0008830180</v>
      </c>
      <c r="C308" s="5" t="str">
        <f>"122455"</f>
        <v>122455</v>
      </c>
      <c r="D308" s="12" t="s">
        <v>940</v>
      </c>
      <c r="E308" s="14" t="s">
        <v>938</v>
      </c>
      <c r="F308" s="12" t="s">
        <v>3</v>
      </c>
      <c r="G308" s="15">
        <v>180</v>
      </c>
      <c r="H308" s="12" t="s">
        <v>690</v>
      </c>
      <c r="I308" s="12" t="s">
        <v>939</v>
      </c>
      <c r="K308" s="16">
        <v>11.7</v>
      </c>
      <c r="L308" s="16">
        <v>18.39</v>
      </c>
      <c r="M308" s="16">
        <v>19.89</v>
      </c>
    </row>
    <row r="309" spans="1:13" ht="67.5" outlineLevel="3" x14ac:dyDescent="0.2">
      <c r="B309" s="4" t="str">
        <f>"0008830180"</f>
        <v>0008830180</v>
      </c>
      <c r="C309" s="5" t="str">
        <f>"416719"</f>
        <v>416719</v>
      </c>
      <c r="D309" s="12" t="s">
        <v>937</v>
      </c>
      <c r="E309" s="14" t="s">
        <v>938</v>
      </c>
      <c r="F309" s="12" t="s">
        <v>3</v>
      </c>
      <c r="G309" s="15">
        <v>180</v>
      </c>
      <c r="H309" s="12" t="s">
        <v>690</v>
      </c>
      <c r="I309" s="12" t="s">
        <v>939</v>
      </c>
      <c r="K309" s="16">
        <v>11.7</v>
      </c>
      <c r="L309" s="16">
        <v>18.39</v>
      </c>
      <c r="M309" s="16">
        <v>19.89</v>
      </c>
    </row>
    <row r="310" spans="1:13" outlineLevel="1" x14ac:dyDescent="0.2">
      <c r="A310" s="3"/>
    </row>
    <row r="311" spans="1:13" outlineLevel="2" x14ac:dyDescent="0.2">
      <c r="A311" s="3" t="s">
        <v>1418</v>
      </c>
    </row>
    <row r="312" spans="1:13" ht="33.75" outlineLevel="3" x14ac:dyDescent="0.2">
      <c r="B312" s="4" t="str">
        <f t="shared" ref="B312:B320" si="7">"0008210030"</f>
        <v>0008210030</v>
      </c>
      <c r="C312" s="5" t="str">
        <f>"487486"</f>
        <v>487486</v>
      </c>
      <c r="D312" s="12" t="s">
        <v>873</v>
      </c>
      <c r="E312" s="14" t="s">
        <v>874</v>
      </c>
      <c r="F312" s="12" t="s">
        <v>3</v>
      </c>
      <c r="G312" s="15">
        <v>28</v>
      </c>
      <c r="H312" s="12" t="s">
        <v>875</v>
      </c>
      <c r="I312" s="12" t="s">
        <v>876</v>
      </c>
      <c r="J312" s="2" t="s">
        <v>1400</v>
      </c>
      <c r="K312" s="16" t="s">
        <v>1401</v>
      </c>
      <c r="L312" s="16" t="s">
        <v>1401</v>
      </c>
      <c r="M312" s="16">
        <v>6.47</v>
      </c>
    </row>
    <row r="313" spans="1:13" ht="33.75" outlineLevel="3" x14ac:dyDescent="0.2">
      <c r="B313" s="4" t="str">
        <f t="shared" si="7"/>
        <v>0008210030</v>
      </c>
      <c r="C313" s="5" t="str">
        <f>"511832"</f>
        <v>511832</v>
      </c>
      <c r="D313" s="12" t="s">
        <v>885</v>
      </c>
      <c r="E313" s="14" t="s">
        <v>874</v>
      </c>
      <c r="F313" s="12" t="s">
        <v>3</v>
      </c>
      <c r="G313" s="15">
        <v>28</v>
      </c>
      <c r="H313" s="12" t="s">
        <v>875</v>
      </c>
      <c r="I313" s="12" t="s">
        <v>886</v>
      </c>
      <c r="K313" s="16">
        <v>11.19</v>
      </c>
      <c r="L313" s="16">
        <v>17.63</v>
      </c>
      <c r="M313" s="16">
        <v>6.47</v>
      </c>
    </row>
    <row r="314" spans="1:13" ht="33.75" outlineLevel="3" x14ac:dyDescent="0.2">
      <c r="B314" s="4" t="str">
        <f t="shared" si="7"/>
        <v>0008210030</v>
      </c>
      <c r="C314" s="5" t="str">
        <f>"083927"</f>
        <v>083927</v>
      </c>
      <c r="D314" s="12" t="s">
        <v>878</v>
      </c>
      <c r="E314" s="14" t="s">
        <v>874</v>
      </c>
      <c r="F314" s="12" t="s">
        <v>3</v>
      </c>
      <c r="G314" s="15">
        <v>30</v>
      </c>
      <c r="H314" s="12" t="s">
        <v>875</v>
      </c>
      <c r="I314" s="12" t="s">
        <v>577</v>
      </c>
      <c r="J314" s="2" t="s">
        <v>1400</v>
      </c>
      <c r="K314" s="16">
        <v>3.18</v>
      </c>
      <c r="L314" s="16">
        <v>5.07</v>
      </c>
      <c r="M314" s="16">
        <v>6.47</v>
      </c>
    </row>
    <row r="315" spans="1:13" ht="33.75" outlineLevel="3" x14ac:dyDescent="0.2">
      <c r="B315" s="4" t="str">
        <f t="shared" si="7"/>
        <v>0008210030</v>
      </c>
      <c r="C315" s="5" t="str">
        <f>"064270"</f>
        <v>064270</v>
      </c>
      <c r="D315" s="12" t="s">
        <v>879</v>
      </c>
      <c r="E315" s="14" t="s">
        <v>874</v>
      </c>
      <c r="F315" s="12" t="s">
        <v>3</v>
      </c>
      <c r="G315" s="15">
        <v>28</v>
      </c>
      <c r="H315" s="12" t="s">
        <v>875</v>
      </c>
      <c r="I315" s="12" t="s">
        <v>509</v>
      </c>
      <c r="K315" s="16">
        <v>3.18</v>
      </c>
      <c r="L315" s="16">
        <v>5.07</v>
      </c>
      <c r="M315" s="16">
        <v>6.47</v>
      </c>
    </row>
    <row r="316" spans="1:13" ht="33.75" outlineLevel="3" x14ac:dyDescent="0.2">
      <c r="B316" s="4" t="str">
        <f t="shared" si="7"/>
        <v>0008210030</v>
      </c>
      <c r="C316" s="5" t="str">
        <f>"069455"</f>
        <v>069455</v>
      </c>
      <c r="D316" s="12" t="s">
        <v>882</v>
      </c>
      <c r="E316" s="14" t="s">
        <v>874</v>
      </c>
      <c r="F316" s="12" t="s">
        <v>3</v>
      </c>
      <c r="G316" s="15">
        <v>28</v>
      </c>
      <c r="H316" s="12" t="s">
        <v>875</v>
      </c>
      <c r="I316" s="12" t="s">
        <v>104</v>
      </c>
      <c r="K316" s="16">
        <v>3.18</v>
      </c>
      <c r="L316" s="16">
        <v>5.07</v>
      </c>
      <c r="M316" s="16">
        <v>6.47</v>
      </c>
    </row>
    <row r="317" spans="1:13" ht="33.75" outlineLevel="3" x14ac:dyDescent="0.2">
      <c r="B317" s="4" t="str">
        <f t="shared" si="7"/>
        <v>0008210030</v>
      </c>
      <c r="C317" s="5" t="str">
        <f>"074455"</f>
        <v>074455</v>
      </c>
      <c r="D317" s="12" t="s">
        <v>883</v>
      </c>
      <c r="E317" s="14" t="s">
        <v>874</v>
      </c>
      <c r="F317" s="12" t="s">
        <v>3</v>
      </c>
      <c r="G317" s="15">
        <v>30</v>
      </c>
      <c r="H317" s="12" t="s">
        <v>875</v>
      </c>
      <c r="I317" s="12" t="s">
        <v>68</v>
      </c>
      <c r="K317" s="16">
        <v>3.18</v>
      </c>
      <c r="L317" s="16">
        <v>5.07</v>
      </c>
      <c r="M317" s="16">
        <v>6.47</v>
      </c>
    </row>
    <row r="318" spans="1:13" ht="33.75" outlineLevel="3" x14ac:dyDescent="0.2">
      <c r="B318" s="4" t="str">
        <f t="shared" si="7"/>
        <v>0008210030</v>
      </c>
      <c r="C318" s="5" t="str">
        <f>"170652"</f>
        <v>170652</v>
      </c>
      <c r="D318" s="12" t="s">
        <v>884</v>
      </c>
      <c r="E318" s="14" t="s">
        <v>874</v>
      </c>
      <c r="F318" s="12" t="s">
        <v>3</v>
      </c>
      <c r="G318" s="15">
        <v>30</v>
      </c>
      <c r="H318" s="12" t="s">
        <v>875</v>
      </c>
      <c r="I318" s="12" t="s">
        <v>577</v>
      </c>
      <c r="K318" s="16">
        <v>3.18</v>
      </c>
      <c r="L318" s="16">
        <v>5.07</v>
      </c>
      <c r="M318" s="16">
        <v>6.47</v>
      </c>
    </row>
    <row r="319" spans="1:13" ht="33.75" outlineLevel="3" x14ac:dyDescent="0.2">
      <c r="B319" s="4" t="str">
        <f t="shared" si="7"/>
        <v>0008210030</v>
      </c>
      <c r="C319" s="5" t="str">
        <f>"064677"</f>
        <v>064677</v>
      </c>
      <c r="D319" s="12" t="s">
        <v>880</v>
      </c>
      <c r="E319" s="14" t="s">
        <v>874</v>
      </c>
      <c r="F319" s="12" t="s">
        <v>3</v>
      </c>
      <c r="G319" s="15">
        <v>28</v>
      </c>
      <c r="H319" s="12" t="s">
        <v>875</v>
      </c>
      <c r="I319" s="12" t="s">
        <v>881</v>
      </c>
      <c r="K319" s="16">
        <v>3.12</v>
      </c>
      <c r="L319" s="16">
        <v>4.97</v>
      </c>
      <c r="M319" s="16">
        <v>6.47</v>
      </c>
    </row>
    <row r="320" spans="1:13" ht="33.75" outlineLevel="3" x14ac:dyDescent="0.2">
      <c r="B320" s="4" t="str">
        <f t="shared" si="7"/>
        <v>0008210030</v>
      </c>
      <c r="C320" s="5" t="str">
        <f>"077953"</f>
        <v>077953</v>
      </c>
      <c r="D320" s="12" t="s">
        <v>877</v>
      </c>
      <c r="E320" s="14" t="s">
        <v>874</v>
      </c>
      <c r="F320" s="12" t="s">
        <v>3</v>
      </c>
      <c r="G320" s="15">
        <v>30</v>
      </c>
      <c r="H320" s="12" t="s">
        <v>875</v>
      </c>
      <c r="I320" s="12" t="s">
        <v>79</v>
      </c>
      <c r="J320" s="2" t="s">
        <v>1400</v>
      </c>
      <c r="K320" s="16">
        <v>2.2400000000000002</v>
      </c>
      <c r="L320" s="16">
        <v>3.58</v>
      </c>
      <c r="M320" s="16">
        <v>6.47</v>
      </c>
    </row>
    <row r="321" spans="1:13" ht="33.75" outlineLevel="3" x14ac:dyDescent="0.2">
      <c r="B321" s="4" t="str">
        <f t="shared" ref="B321:B330" si="8">"0008210100"</f>
        <v>0008210100</v>
      </c>
      <c r="C321" s="5" t="str">
        <f>"559292"</f>
        <v>559292</v>
      </c>
      <c r="D321" s="12" t="s">
        <v>873</v>
      </c>
      <c r="E321" s="14" t="s">
        <v>874</v>
      </c>
      <c r="F321" s="12" t="s">
        <v>3</v>
      </c>
      <c r="G321" s="15">
        <v>100</v>
      </c>
      <c r="H321" s="12" t="s">
        <v>875</v>
      </c>
      <c r="I321" s="12" t="s">
        <v>876</v>
      </c>
      <c r="J321" s="2" t="s">
        <v>1400</v>
      </c>
      <c r="K321" s="16" t="s">
        <v>1401</v>
      </c>
      <c r="L321" s="16" t="s">
        <v>1401</v>
      </c>
      <c r="M321" s="16">
        <v>12.89</v>
      </c>
    </row>
    <row r="322" spans="1:13" ht="33.75" outlineLevel="3" x14ac:dyDescent="0.2">
      <c r="B322" s="4" t="str">
        <f t="shared" si="8"/>
        <v>0008210100</v>
      </c>
      <c r="C322" s="5" t="str">
        <f>"020847"</f>
        <v>020847</v>
      </c>
      <c r="D322" s="12" t="s">
        <v>885</v>
      </c>
      <c r="E322" s="14" t="s">
        <v>874</v>
      </c>
      <c r="F322" s="12" t="s">
        <v>3</v>
      </c>
      <c r="G322" s="15">
        <v>100</v>
      </c>
      <c r="H322" s="12" t="s">
        <v>875</v>
      </c>
      <c r="I322" s="12" t="s">
        <v>886</v>
      </c>
      <c r="K322" s="16">
        <v>9.0299999999999994</v>
      </c>
      <c r="L322" s="16">
        <v>14.4</v>
      </c>
      <c r="M322" s="16">
        <v>12.89</v>
      </c>
    </row>
    <row r="323" spans="1:13" ht="33.75" outlineLevel="3" x14ac:dyDescent="0.2">
      <c r="B323" s="4" t="str">
        <f t="shared" si="8"/>
        <v>0008210100</v>
      </c>
      <c r="C323" s="5" t="str">
        <f>"083938"</f>
        <v>083938</v>
      </c>
      <c r="D323" s="12" t="s">
        <v>878</v>
      </c>
      <c r="E323" s="14" t="s">
        <v>874</v>
      </c>
      <c r="F323" s="12" t="s">
        <v>3</v>
      </c>
      <c r="G323" s="15">
        <v>100</v>
      </c>
      <c r="H323" s="12" t="s">
        <v>875</v>
      </c>
      <c r="I323" s="12" t="s">
        <v>577</v>
      </c>
      <c r="J323" s="2" t="s">
        <v>1400</v>
      </c>
      <c r="K323" s="16">
        <v>7.39</v>
      </c>
      <c r="L323" s="16">
        <v>11.79</v>
      </c>
      <c r="M323" s="16">
        <v>12.89</v>
      </c>
    </row>
    <row r="324" spans="1:13" ht="33.75" outlineLevel="3" x14ac:dyDescent="0.2">
      <c r="B324" s="4" t="str">
        <f t="shared" si="8"/>
        <v>0008210100</v>
      </c>
      <c r="C324" s="5" t="str">
        <f>"064281"</f>
        <v>064281</v>
      </c>
      <c r="D324" s="12" t="s">
        <v>879</v>
      </c>
      <c r="E324" s="14" t="s">
        <v>874</v>
      </c>
      <c r="F324" s="12" t="s">
        <v>3</v>
      </c>
      <c r="G324" s="15">
        <v>100</v>
      </c>
      <c r="H324" s="12" t="s">
        <v>875</v>
      </c>
      <c r="I324" s="12" t="s">
        <v>509</v>
      </c>
      <c r="K324" s="16">
        <v>7.39</v>
      </c>
      <c r="L324" s="16">
        <v>11.79</v>
      </c>
      <c r="M324" s="16">
        <v>12.89</v>
      </c>
    </row>
    <row r="325" spans="1:13" ht="33.75" outlineLevel="3" x14ac:dyDescent="0.2">
      <c r="B325" s="4" t="str">
        <f t="shared" si="8"/>
        <v>0008210100</v>
      </c>
      <c r="C325" s="5" t="str">
        <f>"069477"</f>
        <v>069477</v>
      </c>
      <c r="D325" s="12" t="s">
        <v>882</v>
      </c>
      <c r="E325" s="14" t="s">
        <v>874</v>
      </c>
      <c r="F325" s="12" t="s">
        <v>3</v>
      </c>
      <c r="G325" s="15">
        <v>100</v>
      </c>
      <c r="H325" s="12" t="s">
        <v>875</v>
      </c>
      <c r="I325" s="12" t="s">
        <v>104</v>
      </c>
      <c r="K325" s="16">
        <v>7.39</v>
      </c>
      <c r="L325" s="16">
        <v>11.79</v>
      </c>
      <c r="M325" s="16">
        <v>12.89</v>
      </c>
    </row>
    <row r="326" spans="1:13" ht="33.75" outlineLevel="3" x14ac:dyDescent="0.2">
      <c r="B326" s="4" t="str">
        <f t="shared" si="8"/>
        <v>0008210100</v>
      </c>
      <c r="C326" s="5" t="str">
        <f>"074466"</f>
        <v>074466</v>
      </c>
      <c r="D326" s="12" t="s">
        <v>883</v>
      </c>
      <c r="E326" s="14" t="s">
        <v>874</v>
      </c>
      <c r="F326" s="12" t="s">
        <v>3</v>
      </c>
      <c r="G326" s="15">
        <v>100</v>
      </c>
      <c r="H326" s="12" t="s">
        <v>875</v>
      </c>
      <c r="I326" s="12" t="s">
        <v>68</v>
      </c>
      <c r="K326" s="16">
        <v>7.39</v>
      </c>
      <c r="L326" s="16">
        <v>11.79</v>
      </c>
      <c r="M326" s="16">
        <v>12.89</v>
      </c>
    </row>
    <row r="327" spans="1:13" ht="33.75" outlineLevel="3" x14ac:dyDescent="0.2">
      <c r="B327" s="4" t="str">
        <f t="shared" si="8"/>
        <v>0008210100</v>
      </c>
      <c r="C327" s="5" t="str">
        <f>"082056"</f>
        <v>082056</v>
      </c>
      <c r="D327" s="12" t="s">
        <v>883</v>
      </c>
      <c r="E327" s="14" t="s">
        <v>874</v>
      </c>
      <c r="F327" s="12" t="s">
        <v>3</v>
      </c>
      <c r="G327" s="15">
        <v>100</v>
      </c>
      <c r="H327" s="12" t="s">
        <v>875</v>
      </c>
      <c r="I327" s="12" t="s">
        <v>68</v>
      </c>
      <c r="K327" s="16">
        <v>7.39</v>
      </c>
      <c r="L327" s="16">
        <v>11.79</v>
      </c>
      <c r="M327" s="16">
        <v>12.89</v>
      </c>
    </row>
    <row r="328" spans="1:13" ht="33.75" outlineLevel="3" x14ac:dyDescent="0.2">
      <c r="B328" s="4" t="str">
        <f t="shared" si="8"/>
        <v>0008210100</v>
      </c>
      <c r="C328" s="5" t="str">
        <f>"431459"</f>
        <v>431459</v>
      </c>
      <c r="D328" s="12" t="s">
        <v>877</v>
      </c>
      <c r="E328" s="14" t="s">
        <v>874</v>
      </c>
      <c r="F328" s="12" t="s">
        <v>3</v>
      </c>
      <c r="G328" s="15">
        <v>100</v>
      </c>
      <c r="H328" s="12" t="s">
        <v>875</v>
      </c>
      <c r="I328" s="12" t="s">
        <v>79</v>
      </c>
      <c r="K328" s="16">
        <v>7.39</v>
      </c>
      <c r="L328" s="16">
        <v>11.79</v>
      </c>
      <c r="M328" s="16">
        <v>12.89</v>
      </c>
    </row>
    <row r="329" spans="1:13" ht="33.75" outlineLevel="3" x14ac:dyDescent="0.2">
      <c r="B329" s="4" t="str">
        <f t="shared" si="8"/>
        <v>0008210100</v>
      </c>
      <c r="C329" s="5" t="str">
        <f>"579934"</f>
        <v>579934</v>
      </c>
      <c r="D329" s="12" t="s">
        <v>884</v>
      </c>
      <c r="E329" s="14" t="s">
        <v>874</v>
      </c>
      <c r="F329" s="12" t="s">
        <v>3</v>
      </c>
      <c r="G329" s="15">
        <v>100</v>
      </c>
      <c r="H329" s="12" t="s">
        <v>875</v>
      </c>
      <c r="I329" s="12" t="s">
        <v>577</v>
      </c>
      <c r="K329" s="16">
        <v>7.39</v>
      </c>
      <c r="L329" s="16">
        <v>11.79</v>
      </c>
      <c r="M329" s="16">
        <v>12.89</v>
      </c>
    </row>
    <row r="330" spans="1:13" ht="33.75" outlineLevel="3" x14ac:dyDescent="0.2">
      <c r="B330" s="4" t="str">
        <f t="shared" si="8"/>
        <v>0008210100</v>
      </c>
      <c r="C330" s="5" t="str">
        <f>"064699"</f>
        <v>064699</v>
      </c>
      <c r="D330" s="12" t="s">
        <v>880</v>
      </c>
      <c r="E330" s="14" t="s">
        <v>874</v>
      </c>
      <c r="F330" s="12" t="s">
        <v>3</v>
      </c>
      <c r="G330" s="15">
        <v>100</v>
      </c>
      <c r="H330" s="12" t="s">
        <v>875</v>
      </c>
      <c r="I330" s="12" t="s">
        <v>881</v>
      </c>
      <c r="K330" s="16">
        <v>7.14</v>
      </c>
      <c r="L330" s="16">
        <v>11.39</v>
      </c>
      <c r="M330" s="16">
        <v>12.89</v>
      </c>
    </row>
    <row r="331" spans="1:13" outlineLevel="1" x14ac:dyDescent="0.2">
      <c r="A331" s="3"/>
    </row>
    <row r="332" spans="1:13" outlineLevel="2" x14ac:dyDescent="0.2">
      <c r="A332" s="3" t="s">
        <v>1419</v>
      </c>
    </row>
    <row r="333" spans="1:13" ht="33.75" outlineLevel="3" x14ac:dyDescent="0.2">
      <c r="B333" s="4" t="str">
        <f>"0013770100"</f>
        <v>0013770100</v>
      </c>
      <c r="C333" s="5" t="str">
        <f>"526297"</f>
        <v>526297</v>
      </c>
      <c r="D333" s="12" t="s">
        <v>1281</v>
      </c>
      <c r="E333" s="14" t="s">
        <v>1282</v>
      </c>
      <c r="F333" s="12" t="s">
        <v>639</v>
      </c>
      <c r="G333" s="15">
        <v>100</v>
      </c>
      <c r="H333" s="12" t="s">
        <v>1283</v>
      </c>
      <c r="I333" s="12" t="s">
        <v>104</v>
      </c>
      <c r="K333" s="16">
        <v>12.44</v>
      </c>
      <c r="L333" s="16">
        <v>19.48</v>
      </c>
      <c r="M333" s="16">
        <v>20.98</v>
      </c>
    </row>
    <row r="334" spans="1:13" outlineLevel="1" x14ac:dyDescent="0.2">
      <c r="A334" s="3"/>
    </row>
    <row r="335" spans="1:13" outlineLevel="2" x14ac:dyDescent="0.2">
      <c r="A335" s="3" t="s">
        <v>1420</v>
      </c>
    </row>
    <row r="336" spans="1:13" outlineLevel="3" x14ac:dyDescent="0.2">
      <c r="B336" s="4" t="str">
        <f>"0015900025"</f>
        <v>0015900025</v>
      </c>
      <c r="C336" s="5" t="str">
        <f>"521208"</f>
        <v>521208</v>
      </c>
      <c r="D336" s="12" t="s">
        <v>1369</v>
      </c>
      <c r="E336" s="14" t="s">
        <v>464</v>
      </c>
      <c r="F336" s="12" t="s">
        <v>1370</v>
      </c>
      <c r="G336" s="15">
        <v>25</v>
      </c>
      <c r="H336" s="12" t="s">
        <v>1371</v>
      </c>
      <c r="I336" s="12" t="s">
        <v>28</v>
      </c>
      <c r="K336" s="16">
        <v>4.17</v>
      </c>
      <c r="L336" s="16">
        <v>6.66</v>
      </c>
      <c r="M336" s="16">
        <v>8.16</v>
      </c>
    </row>
    <row r="337" spans="1:13" outlineLevel="2" x14ac:dyDescent="0.2"/>
    <row r="338" spans="1:13" ht="22.5" outlineLevel="3" x14ac:dyDescent="0.2">
      <c r="B338" s="4" t="str">
        <f>"0016730100"</f>
        <v>0016730100</v>
      </c>
      <c r="C338" s="5" t="str">
        <f>"157230"</f>
        <v>157230</v>
      </c>
      <c r="D338" s="12" t="s">
        <v>1384</v>
      </c>
      <c r="E338" s="14" t="s">
        <v>1385</v>
      </c>
      <c r="F338" s="12" t="s">
        <v>1386</v>
      </c>
      <c r="G338" s="15">
        <v>100</v>
      </c>
      <c r="H338" s="12" t="s">
        <v>1371</v>
      </c>
      <c r="I338" s="12" t="s">
        <v>58</v>
      </c>
      <c r="K338" s="16">
        <v>62.77</v>
      </c>
      <c r="L338" s="16">
        <v>92.4</v>
      </c>
      <c r="M338" s="16">
        <v>94.4</v>
      </c>
    </row>
    <row r="339" spans="1:13" ht="22.5" outlineLevel="3" x14ac:dyDescent="0.2">
      <c r="B339" s="4" t="str">
        <f>"0016730100"</f>
        <v>0016730100</v>
      </c>
      <c r="C339" s="5" t="str">
        <f>"541201"</f>
        <v>541201</v>
      </c>
      <c r="D339" s="12" t="s">
        <v>1387</v>
      </c>
      <c r="E339" s="14" t="s">
        <v>1385</v>
      </c>
      <c r="F339" s="12" t="s">
        <v>1386</v>
      </c>
      <c r="G339" s="15">
        <v>100</v>
      </c>
      <c r="H339" s="12" t="s">
        <v>1371</v>
      </c>
      <c r="I339" s="12" t="s">
        <v>109</v>
      </c>
      <c r="K339" s="16">
        <v>62.77</v>
      </c>
      <c r="L339" s="16">
        <v>92.4</v>
      </c>
      <c r="M339" s="16">
        <v>94.4</v>
      </c>
    </row>
    <row r="340" spans="1:13" outlineLevel="2" x14ac:dyDescent="0.2"/>
    <row r="341" spans="1:13" ht="22.5" outlineLevel="3" x14ac:dyDescent="0.2">
      <c r="B341" s="4" t="str">
        <f>"0016740100"</f>
        <v>0016740100</v>
      </c>
      <c r="C341" s="5" t="str">
        <f>"062471"</f>
        <v>062471</v>
      </c>
      <c r="D341" s="12" t="s">
        <v>1387</v>
      </c>
      <c r="E341" s="14" t="s">
        <v>1388</v>
      </c>
      <c r="F341" s="12" t="s">
        <v>1386</v>
      </c>
      <c r="G341" s="15">
        <v>100</v>
      </c>
      <c r="H341" s="12" t="s">
        <v>1371</v>
      </c>
      <c r="I341" s="12" t="s">
        <v>109</v>
      </c>
      <c r="K341" s="16">
        <v>41.53</v>
      </c>
      <c r="L341" s="16">
        <v>62.69</v>
      </c>
      <c r="M341" s="16">
        <v>64.69</v>
      </c>
    </row>
    <row r="342" spans="1:13" ht="22.5" outlineLevel="3" x14ac:dyDescent="0.2">
      <c r="B342" s="4" t="str">
        <f>"0016740100"</f>
        <v>0016740100</v>
      </c>
      <c r="C342" s="5" t="str">
        <f>"157123"</f>
        <v>157123</v>
      </c>
      <c r="D342" s="12" t="s">
        <v>1384</v>
      </c>
      <c r="E342" s="14" t="s">
        <v>1388</v>
      </c>
      <c r="F342" s="12" t="s">
        <v>1386</v>
      </c>
      <c r="G342" s="15">
        <v>100</v>
      </c>
      <c r="H342" s="12" t="s">
        <v>1371</v>
      </c>
      <c r="I342" s="12" t="s">
        <v>58</v>
      </c>
      <c r="K342" s="16">
        <v>41.53</v>
      </c>
      <c r="L342" s="16">
        <v>62.69</v>
      </c>
      <c r="M342" s="16">
        <v>64.69</v>
      </c>
    </row>
    <row r="343" spans="1:13" outlineLevel="1" x14ac:dyDescent="0.2">
      <c r="A343" s="3"/>
    </row>
    <row r="344" spans="1:13" outlineLevel="2" x14ac:dyDescent="0.2">
      <c r="A344" s="3" t="s">
        <v>1421</v>
      </c>
    </row>
    <row r="345" spans="1:13" ht="22.5" outlineLevel="3" x14ac:dyDescent="0.2">
      <c r="B345" s="4" t="str">
        <f>"0000500100"</f>
        <v>0000500100</v>
      </c>
      <c r="C345" s="5" t="str">
        <f>"070110"</f>
        <v>070110</v>
      </c>
      <c r="D345" s="12" t="s">
        <v>84</v>
      </c>
      <c r="E345" s="14" t="s">
        <v>82</v>
      </c>
      <c r="F345" s="12" t="s">
        <v>73</v>
      </c>
      <c r="G345" s="15">
        <v>100</v>
      </c>
      <c r="H345" s="12" t="s">
        <v>83</v>
      </c>
      <c r="I345" s="12" t="s">
        <v>58</v>
      </c>
      <c r="K345" s="16">
        <v>6.06</v>
      </c>
      <c r="L345" s="16">
        <v>9.67</v>
      </c>
      <c r="M345" s="16">
        <v>10.71</v>
      </c>
    </row>
    <row r="346" spans="1:13" ht="22.5" outlineLevel="3" x14ac:dyDescent="0.2">
      <c r="B346" s="4" t="str">
        <f>"0000500100"</f>
        <v>0000500100</v>
      </c>
      <c r="C346" s="5" t="str">
        <f>"020454"</f>
        <v>020454</v>
      </c>
      <c r="D346" s="12" t="s">
        <v>81</v>
      </c>
      <c r="E346" s="14" t="s">
        <v>82</v>
      </c>
      <c r="F346" s="12" t="s">
        <v>73</v>
      </c>
      <c r="G346" s="15">
        <v>100</v>
      </c>
      <c r="H346" s="12" t="s">
        <v>83</v>
      </c>
      <c r="I346" s="12" t="s">
        <v>64</v>
      </c>
      <c r="K346" s="16">
        <v>5.77</v>
      </c>
      <c r="L346" s="16">
        <v>9.2100000000000009</v>
      </c>
      <c r="M346" s="16">
        <v>10.71</v>
      </c>
    </row>
    <row r="347" spans="1:13" ht="22.5" outlineLevel="3" x14ac:dyDescent="0.2">
      <c r="B347" s="4" t="str">
        <f>"0000500100"</f>
        <v>0000500100</v>
      </c>
      <c r="C347" s="5" t="str">
        <f>"097873"</f>
        <v>097873</v>
      </c>
      <c r="D347" s="12" t="s">
        <v>85</v>
      </c>
      <c r="E347" s="14" t="s">
        <v>82</v>
      </c>
      <c r="F347" s="12" t="s">
        <v>73</v>
      </c>
      <c r="G347" s="15">
        <v>100</v>
      </c>
      <c r="H347" s="12" t="s">
        <v>83</v>
      </c>
      <c r="I347" s="12" t="s">
        <v>86</v>
      </c>
      <c r="K347" s="16">
        <v>5.77</v>
      </c>
      <c r="L347" s="16">
        <v>9.2100000000000009</v>
      </c>
      <c r="M347" s="16">
        <v>10.71</v>
      </c>
    </row>
    <row r="348" spans="1:13" outlineLevel="2" x14ac:dyDescent="0.2"/>
    <row r="349" spans="1:13" ht="22.5" outlineLevel="3" x14ac:dyDescent="0.2">
      <c r="B349" s="4" t="str">
        <f>"0000510030"</f>
        <v>0000510030</v>
      </c>
      <c r="C349" s="5" t="str">
        <f>"060889"</f>
        <v>060889</v>
      </c>
      <c r="D349" s="12" t="s">
        <v>85</v>
      </c>
      <c r="E349" s="14" t="s">
        <v>14</v>
      </c>
      <c r="F349" s="12" t="s">
        <v>73</v>
      </c>
      <c r="G349" s="15">
        <v>30</v>
      </c>
      <c r="H349" s="12" t="s">
        <v>83</v>
      </c>
      <c r="I349" s="12" t="s">
        <v>86</v>
      </c>
      <c r="K349" s="16">
        <v>3.72</v>
      </c>
      <c r="L349" s="16">
        <v>5.93</v>
      </c>
      <c r="M349" s="16">
        <v>7.43</v>
      </c>
    </row>
    <row r="350" spans="1:13" outlineLevel="2" x14ac:dyDescent="0.2"/>
    <row r="351" spans="1:13" ht="22.5" outlineLevel="3" x14ac:dyDescent="0.2">
      <c r="B351" s="4" t="str">
        <f>"0000510100"</f>
        <v>0000510100</v>
      </c>
      <c r="C351" s="5" t="str">
        <f>"133819"</f>
        <v>133819</v>
      </c>
      <c r="D351" s="12" t="s">
        <v>87</v>
      </c>
      <c r="E351" s="14" t="s">
        <v>14</v>
      </c>
      <c r="F351" s="12" t="s">
        <v>73</v>
      </c>
      <c r="G351" s="15">
        <v>100</v>
      </c>
      <c r="H351" s="12" t="s">
        <v>83</v>
      </c>
      <c r="I351" s="12" t="s">
        <v>88</v>
      </c>
      <c r="K351" s="16">
        <v>7.71</v>
      </c>
      <c r="L351" s="16">
        <v>12.3</v>
      </c>
      <c r="M351" s="16">
        <v>12.19</v>
      </c>
    </row>
    <row r="352" spans="1:13" ht="22.5" outlineLevel="3" x14ac:dyDescent="0.2">
      <c r="B352" s="4" t="str">
        <f>"0000510100"</f>
        <v>0000510100</v>
      </c>
      <c r="C352" s="5" t="str">
        <f>"070185"</f>
        <v>070185</v>
      </c>
      <c r="D352" s="12" t="s">
        <v>84</v>
      </c>
      <c r="E352" s="14" t="s">
        <v>14</v>
      </c>
      <c r="F352" s="12" t="s">
        <v>73</v>
      </c>
      <c r="G352" s="15">
        <v>100</v>
      </c>
      <c r="H352" s="12" t="s">
        <v>83</v>
      </c>
      <c r="I352" s="12" t="s">
        <v>58</v>
      </c>
      <c r="K352" s="16">
        <v>7.64</v>
      </c>
      <c r="L352" s="16">
        <v>12.19</v>
      </c>
      <c r="M352" s="16">
        <v>12.19</v>
      </c>
    </row>
    <row r="353" spans="1:13" ht="22.5" outlineLevel="3" x14ac:dyDescent="0.2">
      <c r="B353" s="4" t="str">
        <f>"0000510100"</f>
        <v>0000510100</v>
      </c>
      <c r="C353" s="5" t="str">
        <f>"561357"</f>
        <v>561357</v>
      </c>
      <c r="D353" s="12" t="s">
        <v>90</v>
      </c>
      <c r="E353" s="14" t="s">
        <v>14</v>
      </c>
      <c r="F353" s="12" t="s">
        <v>73</v>
      </c>
      <c r="G353" s="15">
        <v>100</v>
      </c>
      <c r="H353" s="12" t="s">
        <v>83</v>
      </c>
      <c r="I353" s="12" t="s">
        <v>5</v>
      </c>
      <c r="K353" s="16">
        <v>7.64</v>
      </c>
      <c r="L353" s="16">
        <v>12.19</v>
      </c>
      <c r="M353" s="16">
        <v>12.19</v>
      </c>
    </row>
    <row r="354" spans="1:13" ht="22.5" outlineLevel="3" x14ac:dyDescent="0.2">
      <c r="B354" s="4" t="str">
        <f>"0000510100"</f>
        <v>0000510100</v>
      </c>
      <c r="C354" s="5" t="str">
        <f>"020432"</f>
        <v>020432</v>
      </c>
      <c r="D354" s="12" t="s">
        <v>81</v>
      </c>
      <c r="E354" s="14" t="s">
        <v>14</v>
      </c>
      <c r="F354" s="12" t="s">
        <v>73</v>
      </c>
      <c r="G354" s="15">
        <v>100</v>
      </c>
      <c r="H354" s="12" t="s">
        <v>83</v>
      </c>
      <c r="I354" s="12" t="s">
        <v>64</v>
      </c>
      <c r="K354" s="16">
        <v>6.7</v>
      </c>
      <c r="L354" s="16">
        <v>10.69</v>
      </c>
      <c r="M354" s="16">
        <v>12.19</v>
      </c>
    </row>
    <row r="355" spans="1:13" ht="22.5" outlineLevel="3" x14ac:dyDescent="0.2">
      <c r="B355" s="4" t="str">
        <f>"0000510100"</f>
        <v>0000510100</v>
      </c>
      <c r="C355" s="5" t="str">
        <f>"060897"</f>
        <v>060897</v>
      </c>
      <c r="D355" s="12" t="s">
        <v>85</v>
      </c>
      <c r="E355" s="14" t="s">
        <v>14</v>
      </c>
      <c r="F355" s="12" t="s">
        <v>73</v>
      </c>
      <c r="G355" s="15">
        <v>100</v>
      </c>
      <c r="H355" s="12" t="s">
        <v>83</v>
      </c>
      <c r="I355" s="12" t="s">
        <v>86</v>
      </c>
      <c r="K355" s="16">
        <v>6.7</v>
      </c>
      <c r="L355" s="16">
        <v>10.69</v>
      </c>
      <c r="M355" s="16">
        <v>12.19</v>
      </c>
    </row>
    <row r="356" spans="1:13" outlineLevel="1" x14ac:dyDescent="0.2">
      <c r="A356" s="3"/>
    </row>
    <row r="357" spans="1:13" outlineLevel="2" x14ac:dyDescent="0.2">
      <c r="A357" s="3" t="s">
        <v>1422</v>
      </c>
    </row>
    <row r="358" spans="1:13" ht="33.75" outlineLevel="3" x14ac:dyDescent="0.2">
      <c r="B358" s="4" t="str">
        <f>"0000520030"</f>
        <v>0000520030</v>
      </c>
      <c r="C358" s="5" t="str">
        <f>"072887"</f>
        <v>072887</v>
      </c>
      <c r="D358" s="12" t="s">
        <v>94</v>
      </c>
      <c r="E358" s="14" t="s">
        <v>92</v>
      </c>
      <c r="F358" s="12" t="s">
        <v>3</v>
      </c>
      <c r="G358" s="15">
        <v>28</v>
      </c>
      <c r="H358" s="12" t="s">
        <v>93</v>
      </c>
      <c r="I358" s="12" t="s">
        <v>68</v>
      </c>
      <c r="K358" s="16">
        <v>6.1</v>
      </c>
      <c r="L358" s="16">
        <v>9.74</v>
      </c>
      <c r="M358" s="16">
        <v>9.48</v>
      </c>
    </row>
    <row r="359" spans="1:13" ht="33.75" outlineLevel="3" x14ac:dyDescent="0.2">
      <c r="B359" s="4" t="str">
        <f>"0000520030"</f>
        <v>0000520030</v>
      </c>
      <c r="C359" s="5" t="str">
        <f>"031824"</f>
        <v>031824</v>
      </c>
      <c r="D359" s="12" t="s">
        <v>91</v>
      </c>
      <c r="E359" s="14" t="s">
        <v>92</v>
      </c>
      <c r="F359" s="12" t="s">
        <v>3</v>
      </c>
      <c r="G359" s="15">
        <v>28</v>
      </c>
      <c r="H359" s="12" t="s">
        <v>93</v>
      </c>
      <c r="I359" s="12" t="s">
        <v>60</v>
      </c>
      <c r="K359" s="16">
        <v>5</v>
      </c>
      <c r="L359" s="16">
        <v>7.98</v>
      </c>
      <c r="M359" s="16">
        <v>9.48</v>
      </c>
    </row>
    <row r="360" spans="1:13" outlineLevel="2" x14ac:dyDescent="0.2"/>
    <row r="361" spans="1:13" ht="33.75" outlineLevel="3" x14ac:dyDescent="0.2">
      <c r="B361" s="4" t="str">
        <f>"0000520100"</f>
        <v>0000520100</v>
      </c>
      <c r="C361" s="5" t="str">
        <f>"112204"</f>
        <v>112204</v>
      </c>
      <c r="D361" s="12" t="s">
        <v>94</v>
      </c>
      <c r="E361" s="14" t="s">
        <v>92</v>
      </c>
      <c r="F361" s="12" t="s">
        <v>3</v>
      </c>
      <c r="G361" s="15">
        <v>98</v>
      </c>
      <c r="H361" s="12" t="s">
        <v>93</v>
      </c>
      <c r="I361" s="12" t="s">
        <v>68</v>
      </c>
      <c r="K361" s="16">
        <v>10.86</v>
      </c>
      <c r="L361" s="16">
        <v>17.14</v>
      </c>
      <c r="M361" s="16">
        <v>16.63</v>
      </c>
    </row>
    <row r="362" spans="1:13" ht="33.75" outlineLevel="3" x14ac:dyDescent="0.2">
      <c r="B362" s="4" t="str">
        <f>"0000520100"</f>
        <v>0000520100</v>
      </c>
      <c r="C362" s="5" t="str">
        <f>"016642"</f>
        <v>016642</v>
      </c>
      <c r="D362" s="12" t="s">
        <v>95</v>
      </c>
      <c r="E362" s="14" t="s">
        <v>92</v>
      </c>
      <c r="F362" s="12" t="s">
        <v>3</v>
      </c>
      <c r="G362" s="15">
        <v>98</v>
      </c>
      <c r="H362" s="12" t="s">
        <v>93</v>
      </c>
      <c r="I362" s="12" t="s">
        <v>42</v>
      </c>
      <c r="K362" s="16">
        <v>10</v>
      </c>
      <c r="L362" s="16">
        <v>15.86</v>
      </c>
      <c r="M362" s="16">
        <v>16.63</v>
      </c>
    </row>
    <row r="363" spans="1:13" ht="33.75" outlineLevel="3" x14ac:dyDescent="0.2">
      <c r="B363" s="4" t="str">
        <f>"0000520100"</f>
        <v>0000520100</v>
      </c>
      <c r="C363" s="5" t="str">
        <f>"031496"</f>
        <v>031496</v>
      </c>
      <c r="D363" s="12" t="s">
        <v>91</v>
      </c>
      <c r="E363" s="14" t="s">
        <v>92</v>
      </c>
      <c r="F363" s="12" t="s">
        <v>3</v>
      </c>
      <c r="G363" s="15">
        <v>98</v>
      </c>
      <c r="H363" s="12" t="s">
        <v>93</v>
      </c>
      <c r="I363" s="12" t="s">
        <v>60</v>
      </c>
      <c r="K363" s="16">
        <v>9.5</v>
      </c>
      <c r="L363" s="16">
        <v>15.13</v>
      </c>
      <c r="M363" s="16">
        <v>16.63</v>
      </c>
    </row>
    <row r="364" spans="1:13" outlineLevel="2" x14ac:dyDescent="0.2"/>
    <row r="365" spans="1:13" ht="33.75" outlineLevel="3" x14ac:dyDescent="0.2">
      <c r="B365" s="4" t="str">
        <f>"0000540030"</f>
        <v>0000540030</v>
      </c>
      <c r="C365" s="5" t="str">
        <f>"072905"</f>
        <v>072905</v>
      </c>
      <c r="D365" s="12" t="s">
        <v>94</v>
      </c>
      <c r="E365" s="14" t="s">
        <v>96</v>
      </c>
      <c r="F365" s="12" t="s">
        <v>3</v>
      </c>
      <c r="G365" s="15">
        <v>28</v>
      </c>
      <c r="H365" s="12" t="s">
        <v>93</v>
      </c>
      <c r="I365" s="12" t="s">
        <v>68</v>
      </c>
      <c r="K365" s="16">
        <v>9.0500000000000007</v>
      </c>
      <c r="L365" s="16">
        <v>14.43</v>
      </c>
      <c r="M365" s="16">
        <v>14.26</v>
      </c>
    </row>
    <row r="366" spans="1:13" ht="33.75" outlineLevel="3" x14ac:dyDescent="0.2">
      <c r="B366" s="4" t="str">
        <f>"0000540030"</f>
        <v>0000540030</v>
      </c>
      <c r="C366" s="5" t="str">
        <f>"105115"</f>
        <v>105115</v>
      </c>
      <c r="D366" s="12" t="s">
        <v>91</v>
      </c>
      <c r="E366" s="14" t="s">
        <v>96</v>
      </c>
      <c r="F366" s="12" t="s">
        <v>3</v>
      </c>
      <c r="G366" s="15">
        <v>28</v>
      </c>
      <c r="H366" s="12" t="s">
        <v>93</v>
      </c>
      <c r="I366" s="12" t="s">
        <v>60</v>
      </c>
      <c r="K366" s="16">
        <v>8</v>
      </c>
      <c r="L366" s="16">
        <v>12.76</v>
      </c>
      <c r="M366" s="16">
        <v>14.26</v>
      </c>
    </row>
    <row r="367" spans="1:13" outlineLevel="2" x14ac:dyDescent="0.2"/>
    <row r="368" spans="1:13" ht="33.75" outlineLevel="3" x14ac:dyDescent="0.2">
      <c r="B368" s="4" t="str">
        <f>"0000540100"</f>
        <v>0000540100</v>
      </c>
      <c r="C368" s="5" t="str">
        <f>"112213"</f>
        <v>112213</v>
      </c>
      <c r="D368" s="12" t="s">
        <v>94</v>
      </c>
      <c r="E368" s="14" t="s">
        <v>96</v>
      </c>
      <c r="F368" s="12" t="s">
        <v>3</v>
      </c>
      <c r="G368" s="15">
        <v>98</v>
      </c>
      <c r="H368" s="12" t="s">
        <v>93</v>
      </c>
      <c r="I368" s="12" t="s">
        <v>68</v>
      </c>
      <c r="K368" s="16">
        <v>17.95</v>
      </c>
      <c r="L368" s="16">
        <v>27.67</v>
      </c>
      <c r="M368" s="16">
        <v>27.16</v>
      </c>
    </row>
    <row r="369" spans="1:13" ht="33.75" outlineLevel="3" x14ac:dyDescent="0.2">
      <c r="B369" s="4" t="str">
        <f>"0000540100"</f>
        <v>0000540100</v>
      </c>
      <c r="C369" s="5" t="str">
        <f>"017806"</f>
        <v>017806</v>
      </c>
      <c r="D369" s="12" t="s">
        <v>95</v>
      </c>
      <c r="E369" s="14" t="s">
        <v>96</v>
      </c>
      <c r="F369" s="12" t="s">
        <v>3</v>
      </c>
      <c r="G369" s="15">
        <v>98</v>
      </c>
      <c r="H369" s="12" t="s">
        <v>93</v>
      </c>
      <c r="I369" s="12" t="s">
        <v>42</v>
      </c>
      <c r="K369" s="16">
        <v>17.010000000000002</v>
      </c>
      <c r="L369" s="16">
        <v>26.27</v>
      </c>
      <c r="M369" s="16">
        <v>27.16</v>
      </c>
    </row>
    <row r="370" spans="1:13" ht="33.75" outlineLevel="3" x14ac:dyDescent="0.2">
      <c r="B370" s="4" t="str">
        <f>"0000540100"</f>
        <v>0000540100</v>
      </c>
      <c r="C370" s="5" t="str">
        <f>"031505"</f>
        <v>031505</v>
      </c>
      <c r="D370" s="12" t="s">
        <v>91</v>
      </c>
      <c r="E370" s="14" t="s">
        <v>96</v>
      </c>
      <c r="F370" s="12" t="s">
        <v>3</v>
      </c>
      <c r="G370" s="15">
        <v>98</v>
      </c>
      <c r="H370" s="12" t="s">
        <v>93</v>
      </c>
      <c r="I370" s="12" t="s">
        <v>60</v>
      </c>
      <c r="K370" s="16">
        <v>16.600000000000001</v>
      </c>
      <c r="L370" s="16">
        <v>25.66</v>
      </c>
      <c r="M370" s="16">
        <v>27.16</v>
      </c>
    </row>
    <row r="371" spans="1:13" outlineLevel="1" x14ac:dyDescent="0.2">
      <c r="A371" s="3"/>
    </row>
    <row r="372" spans="1:13" outlineLevel="2" x14ac:dyDescent="0.2">
      <c r="A372" s="3" t="s">
        <v>1423</v>
      </c>
    </row>
    <row r="373" spans="1:13" ht="22.5" outlineLevel="3" x14ac:dyDescent="0.2">
      <c r="B373" s="4" t="str">
        <f>"0007380030"</f>
        <v>0007380030</v>
      </c>
      <c r="C373" s="5" t="str">
        <f>"096685"</f>
        <v>096685</v>
      </c>
      <c r="D373" s="12" t="s">
        <v>828</v>
      </c>
      <c r="E373" s="14" t="s">
        <v>234</v>
      </c>
      <c r="F373" s="12" t="s">
        <v>441</v>
      </c>
      <c r="G373" s="15">
        <v>30</v>
      </c>
      <c r="H373" s="12" t="s">
        <v>829</v>
      </c>
      <c r="I373" s="12" t="s">
        <v>177</v>
      </c>
      <c r="K373" s="16">
        <v>3.85</v>
      </c>
      <c r="L373" s="16">
        <v>6.14</v>
      </c>
      <c r="M373" s="16">
        <v>7.64</v>
      </c>
    </row>
    <row r="374" spans="1:13" ht="22.5" outlineLevel="3" x14ac:dyDescent="0.2">
      <c r="B374" s="4" t="str">
        <f>"0007380030"</f>
        <v>0007380030</v>
      </c>
      <c r="C374" s="5" t="str">
        <f>"154353"</f>
        <v>154353</v>
      </c>
      <c r="D374" s="12" t="s">
        <v>830</v>
      </c>
      <c r="E374" s="14" t="s">
        <v>234</v>
      </c>
      <c r="F374" s="12" t="s">
        <v>441</v>
      </c>
      <c r="G374" s="15">
        <v>30</v>
      </c>
      <c r="H374" s="12" t="s">
        <v>829</v>
      </c>
      <c r="I374" s="12" t="s">
        <v>104</v>
      </c>
      <c r="K374" s="16">
        <v>3.85</v>
      </c>
      <c r="L374" s="16">
        <v>6.14</v>
      </c>
      <c r="M374" s="16">
        <v>7.64</v>
      </c>
    </row>
    <row r="375" spans="1:13" outlineLevel="2" x14ac:dyDescent="0.2"/>
    <row r="376" spans="1:13" ht="22.5" outlineLevel="3" x14ac:dyDescent="0.2">
      <c r="B376" s="4" t="str">
        <f>"0007380090"</f>
        <v>0007380090</v>
      </c>
      <c r="C376" s="5" t="str">
        <f>"006068"</f>
        <v>006068</v>
      </c>
      <c r="D376" s="12" t="s">
        <v>828</v>
      </c>
      <c r="E376" s="14" t="s">
        <v>234</v>
      </c>
      <c r="F376" s="12" t="s">
        <v>441</v>
      </c>
      <c r="G376" s="15">
        <v>90</v>
      </c>
      <c r="H376" s="12" t="s">
        <v>829</v>
      </c>
      <c r="I376" s="12" t="s">
        <v>177</v>
      </c>
      <c r="K376" s="16">
        <v>10.51</v>
      </c>
      <c r="L376" s="16">
        <v>16.62</v>
      </c>
      <c r="M376" s="16">
        <v>18.12</v>
      </c>
    </row>
    <row r="377" spans="1:13" ht="22.5" outlineLevel="3" x14ac:dyDescent="0.2">
      <c r="B377" s="4" t="str">
        <f>"0007380090"</f>
        <v>0007380090</v>
      </c>
      <c r="C377" s="5" t="str">
        <f>"154375"</f>
        <v>154375</v>
      </c>
      <c r="D377" s="12" t="s">
        <v>830</v>
      </c>
      <c r="E377" s="14" t="s">
        <v>234</v>
      </c>
      <c r="F377" s="12" t="s">
        <v>441</v>
      </c>
      <c r="G377" s="15">
        <v>90</v>
      </c>
      <c r="H377" s="12" t="s">
        <v>829</v>
      </c>
      <c r="I377" s="12" t="s">
        <v>104</v>
      </c>
      <c r="K377" s="16">
        <v>10.51</v>
      </c>
      <c r="L377" s="16">
        <v>16.62</v>
      </c>
      <c r="M377" s="16">
        <v>18.12</v>
      </c>
    </row>
    <row r="378" spans="1:13" outlineLevel="1" x14ac:dyDescent="0.2">
      <c r="A378" s="3"/>
    </row>
    <row r="379" spans="1:13" outlineLevel="2" x14ac:dyDescent="0.2">
      <c r="A379" s="3" t="s">
        <v>1424</v>
      </c>
    </row>
    <row r="380" spans="1:13" outlineLevel="3" x14ac:dyDescent="0.2">
      <c r="B380" s="4" t="str">
        <f>"0000590100"</f>
        <v>0000590100</v>
      </c>
      <c r="C380" s="5" t="str">
        <f>"158717"</f>
        <v>158717</v>
      </c>
      <c r="D380" s="12" t="s">
        <v>97</v>
      </c>
      <c r="E380" s="14" t="s">
        <v>98</v>
      </c>
      <c r="F380" s="12" t="s">
        <v>73</v>
      </c>
      <c r="G380" s="15">
        <v>100</v>
      </c>
      <c r="H380" s="12" t="s">
        <v>99</v>
      </c>
      <c r="I380" s="12" t="s">
        <v>39</v>
      </c>
      <c r="K380" s="16">
        <v>5.24</v>
      </c>
      <c r="L380" s="16">
        <v>8.36</v>
      </c>
      <c r="M380" s="16">
        <v>9.86</v>
      </c>
    </row>
    <row r="381" spans="1:13" outlineLevel="3" x14ac:dyDescent="0.2">
      <c r="B381" s="4" t="str">
        <f>"0000590100"</f>
        <v>0000590100</v>
      </c>
      <c r="C381" s="5" t="str">
        <f>"476861"</f>
        <v>476861</v>
      </c>
      <c r="D381" s="12" t="s">
        <v>100</v>
      </c>
      <c r="E381" s="14" t="s">
        <v>98</v>
      </c>
      <c r="F381" s="12" t="s">
        <v>73</v>
      </c>
      <c r="G381" s="15">
        <v>100</v>
      </c>
      <c r="H381" s="12" t="s">
        <v>99</v>
      </c>
      <c r="I381" s="12" t="s">
        <v>58</v>
      </c>
      <c r="K381" s="16">
        <v>5.24</v>
      </c>
      <c r="L381" s="16">
        <v>8.36</v>
      </c>
      <c r="M381" s="16">
        <v>9.86</v>
      </c>
    </row>
    <row r="382" spans="1:13" outlineLevel="2" x14ac:dyDescent="0.2"/>
    <row r="383" spans="1:13" outlineLevel="3" x14ac:dyDescent="0.2">
      <c r="B383" s="4" t="str">
        <f>"0004940100"</f>
        <v>0004940100</v>
      </c>
      <c r="C383" s="5" t="str">
        <f>"159095"</f>
        <v>159095</v>
      </c>
      <c r="D383" s="12" t="s">
        <v>626</v>
      </c>
      <c r="E383" s="14" t="s">
        <v>66</v>
      </c>
      <c r="F383" s="12" t="s">
        <v>73</v>
      </c>
      <c r="G383" s="15">
        <v>100</v>
      </c>
      <c r="H383" s="12" t="s">
        <v>99</v>
      </c>
      <c r="I383" s="12" t="s">
        <v>39</v>
      </c>
      <c r="K383" s="16">
        <v>42.86</v>
      </c>
      <c r="L383" s="16">
        <v>64.66</v>
      </c>
      <c r="M383" s="16">
        <v>66.66</v>
      </c>
    </row>
    <row r="384" spans="1:13" outlineLevel="3" x14ac:dyDescent="0.2">
      <c r="B384" s="4" t="str">
        <f>"0004940100"</f>
        <v>0004940100</v>
      </c>
      <c r="C384" s="5" t="str">
        <f>"467928"</f>
        <v>467928</v>
      </c>
      <c r="D384" s="12" t="s">
        <v>100</v>
      </c>
      <c r="E384" s="14" t="s">
        <v>66</v>
      </c>
      <c r="F384" s="12" t="s">
        <v>73</v>
      </c>
      <c r="G384" s="15">
        <v>100</v>
      </c>
      <c r="H384" s="12" t="s">
        <v>99</v>
      </c>
      <c r="I384" s="12" t="s">
        <v>58</v>
      </c>
      <c r="K384" s="16">
        <v>42.86</v>
      </c>
      <c r="L384" s="16">
        <v>64.66</v>
      </c>
      <c r="M384" s="16">
        <v>66.66</v>
      </c>
    </row>
    <row r="385" spans="1:13" outlineLevel="1" x14ac:dyDescent="0.2">
      <c r="A385" s="3"/>
    </row>
    <row r="386" spans="1:13" outlineLevel="2" x14ac:dyDescent="0.2">
      <c r="A386" s="3" t="s">
        <v>1425</v>
      </c>
    </row>
    <row r="387" spans="1:13" ht="22.5" outlineLevel="3" x14ac:dyDescent="0.2">
      <c r="B387" s="4" t="str">
        <f>"0000610030"</f>
        <v>0000610030</v>
      </c>
      <c r="C387" s="5" t="str">
        <f>"031519"</f>
        <v>031519</v>
      </c>
      <c r="D387" s="12" t="s">
        <v>101</v>
      </c>
      <c r="E387" s="14" t="s">
        <v>102</v>
      </c>
      <c r="F387" s="12" t="s">
        <v>73</v>
      </c>
      <c r="G387" s="15">
        <v>30</v>
      </c>
      <c r="H387" s="12" t="s">
        <v>103</v>
      </c>
      <c r="I387" s="12" t="s">
        <v>104</v>
      </c>
      <c r="K387" s="16">
        <v>2.7</v>
      </c>
      <c r="L387" s="16">
        <v>4.3099999999999996</v>
      </c>
      <c r="M387" s="16">
        <v>5.81</v>
      </c>
    </row>
    <row r="388" spans="1:13" outlineLevel="2" x14ac:dyDescent="0.2"/>
    <row r="389" spans="1:13" outlineLevel="3" x14ac:dyDescent="0.2">
      <c r="B389" s="4" t="str">
        <f>"0000610100"</f>
        <v>0000610100</v>
      </c>
      <c r="C389" s="5" t="str">
        <f>"173682"</f>
        <v>173682</v>
      </c>
      <c r="D389" s="12" t="s">
        <v>105</v>
      </c>
      <c r="E389" s="14" t="s">
        <v>102</v>
      </c>
      <c r="F389" s="12" t="s">
        <v>73</v>
      </c>
      <c r="G389" s="15">
        <v>100</v>
      </c>
      <c r="H389" s="12" t="s">
        <v>103</v>
      </c>
      <c r="I389" s="12" t="s">
        <v>39</v>
      </c>
      <c r="K389" s="16">
        <v>8.3000000000000007</v>
      </c>
      <c r="L389" s="16">
        <v>13.24</v>
      </c>
      <c r="M389" s="16">
        <v>14.74</v>
      </c>
    </row>
    <row r="390" spans="1:13" ht="22.5" outlineLevel="3" x14ac:dyDescent="0.2">
      <c r="B390" s="4" t="str">
        <f>"0000610100"</f>
        <v>0000610100</v>
      </c>
      <c r="C390" s="5" t="str">
        <f>"195632"</f>
        <v>195632</v>
      </c>
      <c r="D390" s="12" t="s">
        <v>101</v>
      </c>
      <c r="E390" s="14" t="s">
        <v>102</v>
      </c>
      <c r="F390" s="12" t="s">
        <v>73</v>
      </c>
      <c r="G390" s="15">
        <v>100</v>
      </c>
      <c r="H390" s="12" t="s">
        <v>103</v>
      </c>
      <c r="I390" s="12" t="s">
        <v>104</v>
      </c>
      <c r="K390" s="16">
        <v>8.3000000000000007</v>
      </c>
      <c r="L390" s="16">
        <v>13.24</v>
      </c>
      <c r="M390" s="16">
        <v>14.74</v>
      </c>
    </row>
    <row r="391" spans="1:13" outlineLevel="2" x14ac:dyDescent="0.2"/>
    <row r="392" spans="1:13" ht="22.5" outlineLevel="3" x14ac:dyDescent="0.2">
      <c r="B392" s="4" t="str">
        <f>"0000620030"</f>
        <v>0000620030</v>
      </c>
      <c r="C392" s="5" t="str">
        <f>"031508"</f>
        <v>031508</v>
      </c>
      <c r="D392" s="12" t="s">
        <v>101</v>
      </c>
      <c r="E392" s="14" t="s">
        <v>106</v>
      </c>
      <c r="F392" s="12" t="s">
        <v>73</v>
      </c>
      <c r="G392" s="15">
        <v>30</v>
      </c>
      <c r="H392" s="12" t="s">
        <v>103</v>
      </c>
      <c r="I392" s="12" t="s">
        <v>104</v>
      </c>
      <c r="K392" s="16">
        <v>4.28</v>
      </c>
      <c r="L392" s="16">
        <v>6.83</v>
      </c>
      <c r="M392" s="16">
        <v>8.33</v>
      </c>
    </row>
    <row r="393" spans="1:13" outlineLevel="2" x14ac:dyDescent="0.2"/>
    <row r="394" spans="1:13" ht="22.5" outlineLevel="3" x14ac:dyDescent="0.2">
      <c r="B394" s="4" t="str">
        <f>"0000620100"</f>
        <v>0000620100</v>
      </c>
      <c r="C394" s="5" t="str">
        <f>"026239"</f>
        <v>026239</v>
      </c>
      <c r="D394" s="12" t="s">
        <v>101</v>
      </c>
      <c r="E394" s="14" t="s">
        <v>106</v>
      </c>
      <c r="F394" s="12" t="s">
        <v>73</v>
      </c>
      <c r="G394" s="15">
        <v>100</v>
      </c>
      <c r="H394" s="12" t="s">
        <v>103</v>
      </c>
      <c r="I394" s="12" t="s">
        <v>104</v>
      </c>
      <c r="K394" s="16">
        <v>14.95</v>
      </c>
      <c r="L394" s="16">
        <v>23.21</v>
      </c>
      <c r="M394" s="16">
        <v>24.25</v>
      </c>
    </row>
    <row r="395" spans="1:13" outlineLevel="3" x14ac:dyDescent="0.2">
      <c r="B395" s="4" t="str">
        <f>"0000620100"</f>
        <v>0000620100</v>
      </c>
      <c r="C395" s="5" t="str">
        <f>"174326"</f>
        <v>174326</v>
      </c>
      <c r="D395" s="12" t="s">
        <v>105</v>
      </c>
      <c r="E395" s="14" t="s">
        <v>106</v>
      </c>
      <c r="F395" s="12" t="s">
        <v>73</v>
      </c>
      <c r="G395" s="15">
        <v>100</v>
      </c>
      <c r="H395" s="12" t="s">
        <v>103</v>
      </c>
      <c r="I395" s="12" t="s">
        <v>39</v>
      </c>
      <c r="K395" s="16">
        <v>14.64</v>
      </c>
      <c r="L395" s="16">
        <v>22.75</v>
      </c>
      <c r="M395" s="16">
        <v>24.25</v>
      </c>
    </row>
    <row r="396" spans="1:13" outlineLevel="1" x14ac:dyDescent="0.2">
      <c r="A396" s="3"/>
    </row>
    <row r="397" spans="1:13" outlineLevel="2" x14ac:dyDescent="0.2">
      <c r="A397" s="3" t="s">
        <v>1426</v>
      </c>
    </row>
    <row r="398" spans="1:13" ht="33.75" outlineLevel="3" x14ac:dyDescent="0.2">
      <c r="B398" s="4" t="str">
        <f>"0002250100"</f>
        <v>0002250100</v>
      </c>
      <c r="C398" s="5" t="str">
        <f>"014795"</f>
        <v>014795</v>
      </c>
      <c r="D398" s="12" t="s">
        <v>299</v>
      </c>
      <c r="F398" s="12" t="s">
        <v>73</v>
      </c>
      <c r="G398" s="15">
        <v>100</v>
      </c>
      <c r="H398" s="12" t="s">
        <v>300</v>
      </c>
      <c r="I398" s="12" t="s">
        <v>11</v>
      </c>
      <c r="J398" s="2" t="s">
        <v>1400</v>
      </c>
      <c r="K398" s="16">
        <v>4.58</v>
      </c>
      <c r="L398" s="16">
        <v>7.3</v>
      </c>
      <c r="M398" s="16">
        <v>7.99</v>
      </c>
    </row>
    <row r="399" spans="1:13" ht="33.75" outlineLevel="3" x14ac:dyDescent="0.2">
      <c r="B399" s="4" t="str">
        <f>"0002250100"</f>
        <v>0002250100</v>
      </c>
      <c r="C399" s="5" t="str">
        <f>"176909"</f>
        <v>176909</v>
      </c>
      <c r="D399" s="12" t="s">
        <v>302</v>
      </c>
      <c r="F399" s="12" t="s">
        <v>73</v>
      </c>
      <c r="G399" s="15">
        <v>100</v>
      </c>
      <c r="H399" s="12" t="s">
        <v>300</v>
      </c>
      <c r="I399" s="12" t="s">
        <v>58</v>
      </c>
      <c r="K399" s="16">
        <v>4.58</v>
      </c>
      <c r="L399" s="16">
        <v>7.3</v>
      </c>
      <c r="M399" s="16">
        <v>7.99</v>
      </c>
    </row>
    <row r="400" spans="1:13" ht="33.75" outlineLevel="3" x14ac:dyDescent="0.2">
      <c r="B400" s="4" t="str">
        <f>"0002250100"</f>
        <v>0002250100</v>
      </c>
      <c r="C400" s="5" t="str">
        <f>"527051"</f>
        <v>527051</v>
      </c>
      <c r="D400" s="12" t="s">
        <v>304</v>
      </c>
      <c r="F400" s="12" t="s">
        <v>73</v>
      </c>
      <c r="G400" s="15">
        <v>100</v>
      </c>
      <c r="H400" s="12" t="s">
        <v>300</v>
      </c>
      <c r="I400" s="12" t="s">
        <v>39</v>
      </c>
      <c r="K400" s="16">
        <v>4.58</v>
      </c>
      <c r="L400" s="16">
        <v>7.3</v>
      </c>
      <c r="M400" s="16">
        <v>7.99</v>
      </c>
    </row>
    <row r="401" spans="1:13" ht="33.75" outlineLevel="3" x14ac:dyDescent="0.2">
      <c r="B401" s="4" t="str">
        <f>"0002250100"</f>
        <v>0002250100</v>
      </c>
      <c r="C401" s="5" t="str">
        <f>"405076"</f>
        <v>405076</v>
      </c>
      <c r="D401" s="12" t="s">
        <v>303</v>
      </c>
      <c r="F401" s="12" t="s">
        <v>73</v>
      </c>
      <c r="G401" s="15">
        <v>100</v>
      </c>
      <c r="H401" s="12" t="s">
        <v>300</v>
      </c>
      <c r="I401" s="12" t="s">
        <v>5</v>
      </c>
      <c r="K401" s="16">
        <v>4.08</v>
      </c>
      <c r="L401" s="16">
        <v>6.51</v>
      </c>
      <c r="M401" s="16">
        <v>7.99</v>
      </c>
    </row>
    <row r="402" spans="1:13" ht="33.75" outlineLevel="3" x14ac:dyDescent="0.2">
      <c r="B402" s="4" t="str">
        <f>"0002250100"</f>
        <v>0002250100</v>
      </c>
      <c r="C402" s="5" t="str">
        <f>"029144"</f>
        <v>029144</v>
      </c>
      <c r="D402" s="12" t="s">
        <v>301</v>
      </c>
      <c r="F402" s="12" t="s">
        <v>73</v>
      </c>
      <c r="G402" s="15">
        <v>100</v>
      </c>
      <c r="H402" s="12" t="s">
        <v>300</v>
      </c>
      <c r="I402" s="12" t="s">
        <v>62</v>
      </c>
      <c r="K402" s="16">
        <v>4.07</v>
      </c>
      <c r="L402" s="16">
        <v>6.49</v>
      </c>
      <c r="M402" s="16">
        <v>7.99</v>
      </c>
    </row>
    <row r="403" spans="1:13" outlineLevel="2" x14ac:dyDescent="0.2"/>
    <row r="404" spans="1:13" ht="33.75" outlineLevel="3" x14ac:dyDescent="0.2">
      <c r="B404" s="4" t="str">
        <f>"0002260100"</f>
        <v>0002260100</v>
      </c>
      <c r="C404" s="5" t="str">
        <f>"014696"</f>
        <v>014696</v>
      </c>
      <c r="D404" s="12" t="s">
        <v>305</v>
      </c>
      <c r="F404" s="12" t="s">
        <v>73</v>
      </c>
      <c r="G404" s="15">
        <v>100</v>
      </c>
      <c r="H404" s="12" t="s">
        <v>300</v>
      </c>
      <c r="I404" s="12" t="s">
        <v>11</v>
      </c>
      <c r="J404" s="2" t="s">
        <v>1400</v>
      </c>
      <c r="K404" s="16">
        <v>6.98</v>
      </c>
      <c r="L404" s="16">
        <v>11.13</v>
      </c>
      <c r="M404" s="16">
        <v>12.34</v>
      </c>
    </row>
    <row r="405" spans="1:13" ht="33.75" outlineLevel="3" x14ac:dyDescent="0.2">
      <c r="B405" s="4" t="str">
        <f>"0002260100"</f>
        <v>0002260100</v>
      </c>
      <c r="C405" s="5" t="str">
        <f>"029155"</f>
        <v>029155</v>
      </c>
      <c r="D405" s="12" t="s">
        <v>306</v>
      </c>
      <c r="F405" s="12" t="s">
        <v>73</v>
      </c>
      <c r="G405" s="15">
        <v>100</v>
      </c>
      <c r="H405" s="12" t="s">
        <v>300</v>
      </c>
      <c r="I405" s="12" t="s">
        <v>62</v>
      </c>
      <c r="K405" s="16">
        <v>6.98</v>
      </c>
      <c r="L405" s="16">
        <v>11.13</v>
      </c>
      <c r="M405" s="16">
        <v>12.34</v>
      </c>
    </row>
    <row r="406" spans="1:13" ht="33.75" outlineLevel="3" x14ac:dyDescent="0.2">
      <c r="B406" s="4" t="str">
        <f>"0002260100"</f>
        <v>0002260100</v>
      </c>
      <c r="C406" s="5" t="str">
        <f>"197889"</f>
        <v>197889</v>
      </c>
      <c r="D406" s="12" t="s">
        <v>308</v>
      </c>
      <c r="F406" s="12" t="s">
        <v>73</v>
      </c>
      <c r="G406" s="15">
        <v>100</v>
      </c>
      <c r="H406" s="12" t="s">
        <v>300</v>
      </c>
      <c r="I406" s="12" t="s">
        <v>39</v>
      </c>
      <c r="K406" s="16">
        <v>6.98</v>
      </c>
      <c r="L406" s="16">
        <v>11.13</v>
      </c>
      <c r="M406" s="16">
        <v>12.34</v>
      </c>
    </row>
    <row r="407" spans="1:13" ht="33.75" outlineLevel="3" x14ac:dyDescent="0.2">
      <c r="B407" s="4" t="str">
        <f>"0002260100"</f>
        <v>0002260100</v>
      </c>
      <c r="C407" s="5" t="str">
        <f>"478479"</f>
        <v>478479</v>
      </c>
      <c r="D407" s="12" t="s">
        <v>309</v>
      </c>
      <c r="F407" s="12" t="s">
        <v>73</v>
      </c>
      <c r="G407" s="15">
        <v>100</v>
      </c>
      <c r="H407" s="12" t="s">
        <v>300</v>
      </c>
      <c r="I407" s="12" t="s">
        <v>58</v>
      </c>
      <c r="K407" s="16">
        <v>6.98</v>
      </c>
      <c r="L407" s="16">
        <v>11.13</v>
      </c>
      <c r="M407" s="16">
        <v>12.34</v>
      </c>
    </row>
    <row r="408" spans="1:13" ht="33.75" outlineLevel="3" x14ac:dyDescent="0.2">
      <c r="B408" s="4" t="str">
        <f>"0002260100"</f>
        <v>0002260100</v>
      </c>
      <c r="C408" s="5" t="str">
        <f>"032706"</f>
        <v>032706</v>
      </c>
      <c r="D408" s="12" t="s">
        <v>307</v>
      </c>
      <c r="F408" s="12" t="s">
        <v>73</v>
      </c>
      <c r="G408" s="15">
        <v>100</v>
      </c>
      <c r="H408" s="12" t="s">
        <v>300</v>
      </c>
      <c r="I408" s="12" t="s">
        <v>5</v>
      </c>
      <c r="K408" s="16">
        <v>6.79</v>
      </c>
      <c r="L408" s="16">
        <v>10.84</v>
      </c>
      <c r="M408" s="16">
        <v>12.34</v>
      </c>
    </row>
    <row r="409" spans="1:13" outlineLevel="1" x14ac:dyDescent="0.2">
      <c r="A409" s="3"/>
    </row>
    <row r="410" spans="1:13" outlineLevel="2" x14ac:dyDescent="0.2">
      <c r="A410" s="3" t="s">
        <v>1427</v>
      </c>
    </row>
    <row r="411" spans="1:13" outlineLevel="3" x14ac:dyDescent="0.2">
      <c r="B411" s="4" t="str">
        <f>"0000630100"</f>
        <v>0000630100</v>
      </c>
      <c r="C411" s="5" t="str">
        <f>"174227"</f>
        <v>174227</v>
      </c>
      <c r="D411" s="12" t="s">
        <v>110</v>
      </c>
      <c r="E411" s="14" t="s">
        <v>82</v>
      </c>
      <c r="F411" s="12" t="s">
        <v>73</v>
      </c>
      <c r="G411" s="15">
        <v>100</v>
      </c>
      <c r="H411" s="12" t="s">
        <v>108</v>
      </c>
      <c r="I411" s="12" t="s">
        <v>58</v>
      </c>
      <c r="K411" s="16">
        <v>14.16</v>
      </c>
      <c r="L411" s="16">
        <v>22.04</v>
      </c>
      <c r="M411" s="16">
        <v>23.54</v>
      </c>
    </row>
    <row r="412" spans="1:13" outlineLevel="3" x14ac:dyDescent="0.2">
      <c r="B412" s="4" t="str">
        <f>"0000630100"</f>
        <v>0000630100</v>
      </c>
      <c r="C412" s="5" t="str">
        <f>"543330"</f>
        <v>543330</v>
      </c>
      <c r="D412" s="12" t="s">
        <v>107</v>
      </c>
      <c r="E412" s="14" t="s">
        <v>82</v>
      </c>
      <c r="F412" s="12" t="s">
        <v>73</v>
      </c>
      <c r="G412" s="15">
        <v>98</v>
      </c>
      <c r="H412" s="12" t="s">
        <v>108</v>
      </c>
      <c r="I412" s="12" t="s">
        <v>109</v>
      </c>
      <c r="J412" s="2" t="s">
        <v>1400</v>
      </c>
      <c r="K412" s="16">
        <v>13.88</v>
      </c>
      <c r="L412" s="16">
        <v>21.63</v>
      </c>
      <c r="M412" s="16">
        <v>23.54</v>
      </c>
    </row>
    <row r="413" spans="1:13" outlineLevel="2" x14ac:dyDescent="0.2"/>
    <row r="414" spans="1:13" outlineLevel="3" x14ac:dyDescent="0.2">
      <c r="B414" s="4" t="str">
        <f>"0000650100"</f>
        <v>0000650100</v>
      </c>
      <c r="C414" s="5" t="str">
        <f>"148593"</f>
        <v>148593</v>
      </c>
      <c r="D414" s="12" t="s">
        <v>107</v>
      </c>
      <c r="E414" s="14" t="s">
        <v>111</v>
      </c>
      <c r="F414" s="12" t="s">
        <v>73</v>
      </c>
      <c r="G414" s="15">
        <v>100</v>
      </c>
      <c r="H414" s="12" t="s">
        <v>108</v>
      </c>
      <c r="I414" s="12" t="s">
        <v>109</v>
      </c>
      <c r="K414" s="16">
        <v>7.7</v>
      </c>
      <c r="L414" s="16">
        <v>12.29</v>
      </c>
      <c r="M414" s="16">
        <v>13.79</v>
      </c>
    </row>
    <row r="415" spans="1:13" outlineLevel="3" x14ac:dyDescent="0.2">
      <c r="B415" s="4" t="str">
        <f>"0000650100"</f>
        <v>0000650100</v>
      </c>
      <c r="C415" s="5" t="str">
        <f>"173971"</f>
        <v>173971</v>
      </c>
      <c r="D415" s="12" t="s">
        <v>110</v>
      </c>
      <c r="E415" s="14" t="s">
        <v>111</v>
      </c>
      <c r="F415" s="12" t="s">
        <v>73</v>
      </c>
      <c r="G415" s="15">
        <v>100</v>
      </c>
      <c r="H415" s="12" t="s">
        <v>108</v>
      </c>
      <c r="I415" s="12" t="s">
        <v>58</v>
      </c>
      <c r="K415" s="16">
        <v>7.7</v>
      </c>
      <c r="L415" s="16">
        <v>12.29</v>
      </c>
      <c r="M415" s="16">
        <v>13.79</v>
      </c>
    </row>
    <row r="416" spans="1:13" outlineLevel="1" x14ac:dyDescent="0.2">
      <c r="A416" s="3"/>
    </row>
    <row r="417" spans="1:13" outlineLevel="2" x14ac:dyDescent="0.2">
      <c r="A417" s="3" t="s">
        <v>1428</v>
      </c>
    </row>
    <row r="418" spans="1:13" ht="33.75" outlineLevel="3" x14ac:dyDescent="0.2">
      <c r="B418" s="4" t="str">
        <f>"0000660030"</f>
        <v>0000660030</v>
      </c>
      <c r="C418" s="5" t="str">
        <f>"169235"</f>
        <v>169235</v>
      </c>
      <c r="D418" s="12" t="s">
        <v>112</v>
      </c>
      <c r="E418" s="14" t="s">
        <v>98</v>
      </c>
      <c r="F418" s="12" t="s">
        <v>3</v>
      </c>
      <c r="G418" s="15">
        <v>30</v>
      </c>
      <c r="H418" s="12" t="s">
        <v>113</v>
      </c>
      <c r="I418" s="12" t="s">
        <v>5</v>
      </c>
      <c r="K418" s="16">
        <v>1.7</v>
      </c>
      <c r="L418" s="16">
        <v>2.72</v>
      </c>
      <c r="M418" s="16">
        <v>4.22</v>
      </c>
    </row>
    <row r="419" spans="1:13" outlineLevel="2" x14ac:dyDescent="0.2"/>
    <row r="420" spans="1:13" ht="33.75" outlineLevel="3" x14ac:dyDescent="0.2">
      <c r="B420" s="4" t="str">
        <f>"0000660100"</f>
        <v>0000660100</v>
      </c>
      <c r="C420" s="5" t="str">
        <f>"169292"</f>
        <v>169292</v>
      </c>
      <c r="D420" s="12" t="s">
        <v>112</v>
      </c>
      <c r="E420" s="14" t="s">
        <v>98</v>
      </c>
      <c r="F420" s="12" t="s">
        <v>3</v>
      </c>
      <c r="G420" s="15">
        <v>100</v>
      </c>
      <c r="H420" s="12" t="s">
        <v>113</v>
      </c>
      <c r="I420" s="12" t="s">
        <v>5</v>
      </c>
      <c r="K420" s="16">
        <v>3.69</v>
      </c>
      <c r="L420" s="16">
        <v>5.89</v>
      </c>
      <c r="M420" s="16">
        <v>5.89</v>
      </c>
    </row>
    <row r="421" spans="1:13" outlineLevel="3" x14ac:dyDescent="0.2">
      <c r="B421" s="4" t="str">
        <f>"0000660100"</f>
        <v>0000660100</v>
      </c>
      <c r="C421" s="5" t="str">
        <f>"460402"</f>
        <v>460402</v>
      </c>
      <c r="D421" s="12" t="s">
        <v>115</v>
      </c>
      <c r="E421" s="14" t="s">
        <v>98</v>
      </c>
      <c r="F421" s="12" t="s">
        <v>73</v>
      </c>
      <c r="G421" s="15">
        <v>100</v>
      </c>
      <c r="H421" s="12" t="s">
        <v>113</v>
      </c>
      <c r="I421" s="12" t="s">
        <v>58</v>
      </c>
      <c r="K421" s="16">
        <v>3.69</v>
      </c>
      <c r="L421" s="16">
        <v>5.89</v>
      </c>
      <c r="M421" s="16">
        <v>5.89</v>
      </c>
    </row>
    <row r="422" spans="1:13" ht="33.75" outlineLevel="3" x14ac:dyDescent="0.2">
      <c r="B422" s="4" t="str">
        <f>"0000660100"</f>
        <v>0000660100</v>
      </c>
      <c r="C422" s="5" t="str">
        <f>"405684"</f>
        <v>405684</v>
      </c>
      <c r="D422" s="12" t="s">
        <v>114</v>
      </c>
      <c r="E422" s="14" t="s">
        <v>98</v>
      </c>
      <c r="F422" s="12" t="s">
        <v>3</v>
      </c>
      <c r="G422" s="15">
        <v>100</v>
      </c>
      <c r="H422" s="12" t="s">
        <v>113</v>
      </c>
      <c r="I422" s="12" t="s">
        <v>79</v>
      </c>
      <c r="K422" s="16">
        <v>2.75</v>
      </c>
      <c r="L422" s="16">
        <v>4.3899999999999997</v>
      </c>
      <c r="M422" s="16">
        <v>5.89</v>
      </c>
    </row>
    <row r="423" spans="1:13" outlineLevel="2" x14ac:dyDescent="0.2"/>
    <row r="424" spans="1:13" ht="33.75" outlineLevel="3" x14ac:dyDescent="0.2">
      <c r="B424" s="4" t="str">
        <f>"0000670100"</f>
        <v>0000670100</v>
      </c>
      <c r="C424" s="5" t="str">
        <f>"169094"</f>
        <v>169094</v>
      </c>
      <c r="D424" s="12" t="s">
        <v>112</v>
      </c>
      <c r="E424" s="14" t="s">
        <v>116</v>
      </c>
      <c r="F424" s="12" t="s">
        <v>3</v>
      </c>
      <c r="G424" s="15">
        <v>100</v>
      </c>
      <c r="H424" s="12" t="s">
        <v>113</v>
      </c>
      <c r="I424" s="12" t="s">
        <v>5</v>
      </c>
      <c r="K424" s="16">
        <v>3.36</v>
      </c>
      <c r="L424" s="16">
        <v>5.36</v>
      </c>
      <c r="M424" s="16">
        <v>5.36</v>
      </c>
    </row>
    <row r="425" spans="1:13" ht="33.75" outlineLevel="3" x14ac:dyDescent="0.2">
      <c r="B425" s="4" t="str">
        <f>"0000670100"</f>
        <v>0000670100</v>
      </c>
      <c r="C425" s="5" t="str">
        <f>"094492"</f>
        <v>094492</v>
      </c>
      <c r="D425" s="12" t="s">
        <v>114</v>
      </c>
      <c r="E425" s="14" t="s">
        <v>116</v>
      </c>
      <c r="F425" s="12" t="s">
        <v>3</v>
      </c>
      <c r="G425" s="15">
        <v>100</v>
      </c>
      <c r="H425" s="12" t="s">
        <v>113</v>
      </c>
      <c r="I425" s="12" t="s">
        <v>79</v>
      </c>
      <c r="K425" s="16">
        <v>2.42</v>
      </c>
      <c r="L425" s="16">
        <v>3.86</v>
      </c>
      <c r="M425" s="16">
        <v>5.36</v>
      </c>
    </row>
    <row r="426" spans="1:13" outlineLevel="2" x14ac:dyDescent="0.2"/>
    <row r="427" spans="1:13" outlineLevel="3" x14ac:dyDescent="0.2">
      <c r="B427" s="4" t="str">
        <f>"0014010100"</f>
        <v>0014010100</v>
      </c>
      <c r="C427" s="5" t="str">
        <f>"460295"</f>
        <v>460295</v>
      </c>
      <c r="D427" s="12" t="s">
        <v>115</v>
      </c>
      <c r="E427" s="14" t="s">
        <v>82</v>
      </c>
      <c r="F427" s="12" t="s">
        <v>73</v>
      </c>
      <c r="G427" s="15">
        <v>100</v>
      </c>
      <c r="H427" s="12" t="s">
        <v>113</v>
      </c>
      <c r="I427" s="12" t="s">
        <v>58</v>
      </c>
      <c r="K427" s="16">
        <v>2.77</v>
      </c>
      <c r="L427" s="16">
        <v>4.42</v>
      </c>
      <c r="M427" s="16">
        <v>5.92</v>
      </c>
    </row>
    <row r="428" spans="1:13" ht="33.75" outlineLevel="3" x14ac:dyDescent="0.2">
      <c r="B428" s="4" t="str">
        <f>"0014010100"</f>
        <v>0014010100</v>
      </c>
      <c r="C428" s="5" t="str">
        <f>"039505"</f>
        <v>039505</v>
      </c>
      <c r="D428" s="12" t="s">
        <v>114</v>
      </c>
      <c r="E428" s="14" t="s">
        <v>82</v>
      </c>
      <c r="F428" s="12" t="s">
        <v>3</v>
      </c>
      <c r="G428" s="15">
        <v>100</v>
      </c>
      <c r="H428" s="12" t="s">
        <v>113</v>
      </c>
      <c r="I428" s="12" t="s">
        <v>79</v>
      </c>
      <c r="J428" s="2" t="s">
        <v>1400</v>
      </c>
      <c r="K428" s="16">
        <v>1.55</v>
      </c>
      <c r="L428" s="16">
        <v>2.48</v>
      </c>
      <c r="M428" s="16">
        <v>5.92</v>
      </c>
    </row>
    <row r="429" spans="1:13" outlineLevel="1" x14ac:dyDescent="0.2">
      <c r="A429" s="3"/>
    </row>
    <row r="430" spans="1:13" outlineLevel="2" x14ac:dyDescent="0.2">
      <c r="A430" s="3" t="s">
        <v>1429</v>
      </c>
    </row>
    <row r="431" spans="1:13" ht="22.5" outlineLevel="3" x14ac:dyDescent="0.2">
      <c r="B431" s="4" t="str">
        <f>"0004590030"</f>
        <v>0004590030</v>
      </c>
      <c r="C431" s="5" t="str">
        <f>"518833"</f>
        <v>518833</v>
      </c>
      <c r="D431" s="12" t="s">
        <v>587</v>
      </c>
      <c r="E431" s="14" t="s">
        <v>588</v>
      </c>
      <c r="F431" s="12" t="s">
        <v>441</v>
      </c>
      <c r="G431" s="15">
        <v>30</v>
      </c>
      <c r="H431" s="12" t="s">
        <v>589</v>
      </c>
      <c r="I431" s="12" t="s">
        <v>509</v>
      </c>
      <c r="K431" s="16">
        <v>11.88</v>
      </c>
      <c r="L431" s="16">
        <v>18.66</v>
      </c>
      <c r="M431" s="16">
        <v>20.16</v>
      </c>
    </row>
    <row r="432" spans="1:13" outlineLevel="3" x14ac:dyDescent="0.2">
      <c r="B432" s="4" t="str">
        <f>"0004590030"</f>
        <v>0004590030</v>
      </c>
      <c r="C432" s="5" t="str">
        <f>"021910"</f>
        <v>021910</v>
      </c>
      <c r="D432" s="12" t="s">
        <v>590</v>
      </c>
      <c r="E432" s="14" t="s">
        <v>588</v>
      </c>
      <c r="F432" s="12" t="s">
        <v>441</v>
      </c>
      <c r="G432" s="15">
        <v>30</v>
      </c>
      <c r="H432" s="12" t="s">
        <v>589</v>
      </c>
      <c r="I432" s="12" t="s">
        <v>62</v>
      </c>
      <c r="K432" s="16">
        <v>11.88</v>
      </c>
      <c r="L432" s="16">
        <v>18.66</v>
      </c>
      <c r="M432" s="16">
        <v>20.16</v>
      </c>
    </row>
    <row r="433" spans="2:13" outlineLevel="2" x14ac:dyDescent="0.2"/>
    <row r="434" spans="2:13" outlineLevel="3" x14ac:dyDescent="0.2">
      <c r="B434" s="4" t="str">
        <f t="shared" ref="B434:B441" si="9">"0004590100"</f>
        <v>0004590100</v>
      </c>
      <c r="C434" s="5" t="str">
        <f>"408294"</f>
        <v>408294</v>
      </c>
      <c r="D434" s="12" t="s">
        <v>591</v>
      </c>
      <c r="E434" s="14" t="s">
        <v>588</v>
      </c>
      <c r="F434" s="12" t="s">
        <v>441</v>
      </c>
      <c r="G434" s="15">
        <v>100</v>
      </c>
      <c r="H434" s="12" t="s">
        <v>589</v>
      </c>
      <c r="I434" s="12" t="s">
        <v>22</v>
      </c>
      <c r="J434" s="2" t="s">
        <v>1400</v>
      </c>
      <c r="K434" s="16">
        <v>40.03</v>
      </c>
      <c r="L434" s="16">
        <v>60.46</v>
      </c>
      <c r="M434" s="16">
        <v>30</v>
      </c>
    </row>
    <row r="435" spans="2:13" outlineLevel="3" x14ac:dyDescent="0.2">
      <c r="B435" s="4" t="str">
        <f t="shared" si="9"/>
        <v>0004590100</v>
      </c>
      <c r="C435" s="5" t="str">
        <f>"500462"</f>
        <v>500462</v>
      </c>
      <c r="D435" s="12" t="s">
        <v>591</v>
      </c>
      <c r="E435" s="14" t="s">
        <v>588</v>
      </c>
      <c r="F435" s="12" t="s">
        <v>441</v>
      </c>
      <c r="G435" s="15">
        <v>98</v>
      </c>
      <c r="H435" s="12" t="s">
        <v>589</v>
      </c>
      <c r="I435" s="12" t="s">
        <v>22</v>
      </c>
      <c r="J435" s="2" t="s">
        <v>1400</v>
      </c>
      <c r="K435" s="16">
        <v>39.24</v>
      </c>
      <c r="L435" s="16">
        <v>59.28</v>
      </c>
      <c r="M435" s="16">
        <v>30</v>
      </c>
    </row>
    <row r="436" spans="2:13" outlineLevel="3" x14ac:dyDescent="0.2">
      <c r="B436" s="4" t="str">
        <f t="shared" si="9"/>
        <v>0004590100</v>
      </c>
      <c r="C436" s="5" t="str">
        <f>"422337"</f>
        <v>422337</v>
      </c>
      <c r="D436" s="12" t="s">
        <v>592</v>
      </c>
      <c r="E436" s="14" t="s">
        <v>588</v>
      </c>
      <c r="F436" s="12" t="s">
        <v>441</v>
      </c>
      <c r="G436" s="15">
        <v>98</v>
      </c>
      <c r="H436" s="12" t="s">
        <v>589</v>
      </c>
      <c r="I436" s="12" t="s">
        <v>22</v>
      </c>
      <c r="K436" s="16">
        <v>36.53</v>
      </c>
      <c r="L436" s="16">
        <v>55.26</v>
      </c>
      <c r="M436" s="16">
        <v>30</v>
      </c>
    </row>
    <row r="437" spans="2:13" ht="22.5" outlineLevel="3" x14ac:dyDescent="0.2">
      <c r="B437" s="4" t="str">
        <f t="shared" si="9"/>
        <v>0004590100</v>
      </c>
      <c r="C437" s="5" t="str">
        <f>"127705"</f>
        <v>127705</v>
      </c>
      <c r="D437" s="12" t="s">
        <v>587</v>
      </c>
      <c r="E437" s="14" t="s">
        <v>588</v>
      </c>
      <c r="F437" s="12" t="s">
        <v>441</v>
      </c>
      <c r="G437" s="15">
        <v>100</v>
      </c>
      <c r="H437" s="12" t="s">
        <v>589</v>
      </c>
      <c r="I437" s="12" t="s">
        <v>509</v>
      </c>
      <c r="K437" s="16">
        <v>19.579999999999998</v>
      </c>
      <c r="L437" s="16">
        <v>30.09</v>
      </c>
      <c r="M437" s="16">
        <v>30</v>
      </c>
    </row>
    <row r="438" spans="2:13" outlineLevel="3" x14ac:dyDescent="0.2">
      <c r="B438" s="4" t="str">
        <f t="shared" si="9"/>
        <v>0004590100</v>
      </c>
      <c r="C438" s="5" t="str">
        <f>"021861"</f>
        <v>021861</v>
      </c>
      <c r="D438" s="12" t="s">
        <v>590</v>
      </c>
      <c r="E438" s="14" t="s">
        <v>588</v>
      </c>
      <c r="F438" s="12" t="s">
        <v>441</v>
      </c>
      <c r="G438" s="15">
        <v>100</v>
      </c>
      <c r="H438" s="12" t="s">
        <v>589</v>
      </c>
      <c r="I438" s="12" t="s">
        <v>62</v>
      </c>
      <c r="K438" s="16">
        <v>19.579999999999998</v>
      </c>
      <c r="L438" s="16">
        <v>30.09</v>
      </c>
      <c r="M438" s="16">
        <v>30</v>
      </c>
    </row>
    <row r="439" spans="2:13" outlineLevel="3" x14ac:dyDescent="0.2">
      <c r="B439" s="4" t="str">
        <f t="shared" si="9"/>
        <v>0004590100</v>
      </c>
      <c r="C439" s="5" t="str">
        <f>"035597"</f>
        <v>035597</v>
      </c>
      <c r="D439" s="12" t="s">
        <v>593</v>
      </c>
      <c r="E439" s="14" t="s">
        <v>588</v>
      </c>
      <c r="F439" s="12" t="s">
        <v>441</v>
      </c>
      <c r="G439" s="15">
        <v>100</v>
      </c>
      <c r="H439" s="12" t="s">
        <v>589</v>
      </c>
      <c r="I439" s="12" t="s">
        <v>5</v>
      </c>
      <c r="K439" s="16">
        <v>19.579999999999998</v>
      </c>
      <c r="L439" s="16">
        <v>30.09</v>
      </c>
      <c r="M439" s="16">
        <v>30</v>
      </c>
    </row>
    <row r="440" spans="2:13" ht="22.5" outlineLevel="3" x14ac:dyDescent="0.2">
      <c r="B440" s="4" t="str">
        <f t="shared" si="9"/>
        <v>0004590100</v>
      </c>
      <c r="C440" s="5" t="str">
        <f>"070418"</f>
        <v>070418</v>
      </c>
      <c r="D440" s="12" t="s">
        <v>594</v>
      </c>
      <c r="E440" s="14" t="s">
        <v>588</v>
      </c>
      <c r="F440" s="12" t="s">
        <v>441</v>
      </c>
      <c r="G440" s="15">
        <v>100</v>
      </c>
      <c r="H440" s="12" t="s">
        <v>589</v>
      </c>
      <c r="I440" s="12" t="s">
        <v>104</v>
      </c>
      <c r="K440" s="16">
        <v>19.579999999999998</v>
      </c>
      <c r="L440" s="16">
        <v>30.09</v>
      </c>
      <c r="M440" s="16">
        <v>30</v>
      </c>
    </row>
    <row r="441" spans="2:13" outlineLevel="3" x14ac:dyDescent="0.2">
      <c r="B441" s="4" t="str">
        <f t="shared" si="9"/>
        <v>0004590100</v>
      </c>
      <c r="C441" s="5" t="str">
        <f>"087298"</f>
        <v>087298</v>
      </c>
      <c r="D441" s="12" t="s">
        <v>595</v>
      </c>
      <c r="E441" s="14" t="s">
        <v>588</v>
      </c>
      <c r="F441" s="12" t="s">
        <v>441</v>
      </c>
      <c r="G441" s="15">
        <v>100</v>
      </c>
      <c r="H441" s="12" t="s">
        <v>589</v>
      </c>
      <c r="I441" s="12" t="s">
        <v>11</v>
      </c>
      <c r="K441" s="16">
        <v>18.510000000000002</v>
      </c>
      <c r="L441" s="16">
        <v>28.5</v>
      </c>
      <c r="M441" s="16">
        <v>30</v>
      </c>
    </row>
    <row r="442" spans="2:13" outlineLevel="2" x14ac:dyDescent="0.2"/>
    <row r="443" spans="2:13" outlineLevel="3" x14ac:dyDescent="0.2">
      <c r="B443" s="4" t="str">
        <f t="shared" ref="B443:B448" si="10">"0004610030"</f>
        <v>0004610030</v>
      </c>
      <c r="C443" s="5" t="str">
        <f>"422238"</f>
        <v>422238</v>
      </c>
      <c r="D443" s="12" t="s">
        <v>592</v>
      </c>
      <c r="E443" s="14" t="s">
        <v>596</v>
      </c>
      <c r="F443" s="12" t="s">
        <v>441</v>
      </c>
      <c r="G443" s="15">
        <v>28</v>
      </c>
      <c r="H443" s="12" t="s">
        <v>589</v>
      </c>
      <c r="I443" s="12" t="s">
        <v>22</v>
      </c>
      <c r="K443" s="16">
        <v>7.51</v>
      </c>
      <c r="L443" s="16">
        <v>11.98</v>
      </c>
      <c r="M443" s="16">
        <v>13.06</v>
      </c>
    </row>
    <row r="444" spans="2:13" outlineLevel="3" x14ac:dyDescent="0.2">
      <c r="B444" s="4" t="str">
        <f t="shared" si="10"/>
        <v>0004610030</v>
      </c>
      <c r="C444" s="5" t="str">
        <f>"500389"</f>
        <v>500389</v>
      </c>
      <c r="D444" s="12" t="s">
        <v>591</v>
      </c>
      <c r="E444" s="14" t="s">
        <v>596</v>
      </c>
      <c r="F444" s="12" t="s">
        <v>441</v>
      </c>
      <c r="G444" s="15">
        <v>28</v>
      </c>
      <c r="H444" s="12" t="s">
        <v>589</v>
      </c>
      <c r="I444" s="12" t="s">
        <v>22</v>
      </c>
      <c r="K444" s="16">
        <v>7.51</v>
      </c>
      <c r="L444" s="16">
        <v>11.98</v>
      </c>
      <c r="M444" s="16">
        <v>13.06</v>
      </c>
    </row>
    <row r="445" spans="2:13" outlineLevel="3" x14ac:dyDescent="0.2">
      <c r="B445" s="4" t="str">
        <f t="shared" si="10"/>
        <v>0004610030</v>
      </c>
      <c r="C445" s="5" t="str">
        <f>"035552"</f>
        <v>035552</v>
      </c>
      <c r="D445" s="12" t="s">
        <v>593</v>
      </c>
      <c r="E445" s="14" t="s">
        <v>596</v>
      </c>
      <c r="F445" s="12" t="s">
        <v>441</v>
      </c>
      <c r="G445" s="15">
        <v>30</v>
      </c>
      <c r="H445" s="12" t="s">
        <v>589</v>
      </c>
      <c r="I445" s="12" t="s">
        <v>5</v>
      </c>
      <c r="J445" s="2" t="s">
        <v>1400</v>
      </c>
      <c r="K445" s="16">
        <v>7.25</v>
      </c>
      <c r="L445" s="16">
        <v>11.56</v>
      </c>
      <c r="M445" s="16">
        <v>13.06</v>
      </c>
    </row>
    <row r="446" spans="2:13" outlineLevel="3" x14ac:dyDescent="0.2">
      <c r="B446" s="4" t="str">
        <f t="shared" si="10"/>
        <v>0004610030</v>
      </c>
      <c r="C446" s="5" t="str">
        <f>"021867"</f>
        <v>021867</v>
      </c>
      <c r="D446" s="12" t="s">
        <v>590</v>
      </c>
      <c r="E446" s="14" t="s">
        <v>596</v>
      </c>
      <c r="F446" s="12" t="s">
        <v>441</v>
      </c>
      <c r="G446" s="15">
        <v>30</v>
      </c>
      <c r="H446" s="12" t="s">
        <v>589</v>
      </c>
      <c r="I446" s="12" t="s">
        <v>62</v>
      </c>
      <c r="K446" s="16">
        <v>7.25</v>
      </c>
      <c r="L446" s="16">
        <v>11.56</v>
      </c>
      <c r="M446" s="16">
        <v>13.06</v>
      </c>
    </row>
    <row r="447" spans="2:13" ht="22.5" outlineLevel="3" x14ac:dyDescent="0.2">
      <c r="B447" s="4" t="str">
        <f t="shared" si="10"/>
        <v>0004610030</v>
      </c>
      <c r="C447" s="5" t="str">
        <f>"070395"</f>
        <v>070395</v>
      </c>
      <c r="D447" s="12" t="s">
        <v>594</v>
      </c>
      <c r="E447" s="14" t="s">
        <v>596</v>
      </c>
      <c r="F447" s="12" t="s">
        <v>441</v>
      </c>
      <c r="G447" s="15">
        <v>30</v>
      </c>
      <c r="H447" s="12" t="s">
        <v>589</v>
      </c>
      <c r="I447" s="12" t="s">
        <v>104</v>
      </c>
      <c r="K447" s="16">
        <v>7.25</v>
      </c>
      <c r="L447" s="16">
        <v>11.56</v>
      </c>
      <c r="M447" s="16">
        <v>13.06</v>
      </c>
    </row>
    <row r="448" spans="2:13" ht="22.5" outlineLevel="3" x14ac:dyDescent="0.2">
      <c r="B448" s="4" t="str">
        <f t="shared" si="10"/>
        <v>0004610030</v>
      </c>
      <c r="C448" s="5" t="str">
        <f>"465463"</f>
        <v>465463</v>
      </c>
      <c r="D448" s="12" t="s">
        <v>587</v>
      </c>
      <c r="E448" s="14" t="s">
        <v>596</v>
      </c>
      <c r="F448" s="12" t="s">
        <v>441</v>
      </c>
      <c r="G448" s="15">
        <v>30</v>
      </c>
      <c r="H448" s="12" t="s">
        <v>589</v>
      </c>
      <c r="I448" s="12" t="s">
        <v>509</v>
      </c>
      <c r="K448" s="16">
        <v>7.25</v>
      </c>
      <c r="L448" s="16">
        <v>11.56</v>
      </c>
      <c r="M448" s="16">
        <v>13.06</v>
      </c>
    </row>
    <row r="449" spans="2:13" outlineLevel="2" x14ac:dyDescent="0.2"/>
    <row r="450" spans="2:13" outlineLevel="3" x14ac:dyDescent="0.2">
      <c r="B450" s="4" t="str">
        <f t="shared" ref="B450:B457" si="11">"0004610100"</f>
        <v>0004610100</v>
      </c>
      <c r="C450" s="5" t="str">
        <f>"408278"</f>
        <v>408278</v>
      </c>
      <c r="D450" s="12" t="s">
        <v>591</v>
      </c>
      <c r="E450" s="14" t="s">
        <v>596</v>
      </c>
      <c r="F450" s="12" t="s">
        <v>441</v>
      </c>
      <c r="G450" s="15">
        <v>100</v>
      </c>
      <c r="H450" s="12" t="s">
        <v>589</v>
      </c>
      <c r="I450" s="12" t="s">
        <v>22</v>
      </c>
      <c r="K450" s="16">
        <v>23.07</v>
      </c>
      <c r="L450" s="16">
        <v>35.270000000000003</v>
      </c>
      <c r="M450" s="16">
        <v>24.29</v>
      </c>
    </row>
    <row r="451" spans="2:13" outlineLevel="3" x14ac:dyDescent="0.2">
      <c r="B451" s="4" t="str">
        <f t="shared" si="11"/>
        <v>0004610100</v>
      </c>
      <c r="C451" s="5" t="str">
        <f>"422246"</f>
        <v>422246</v>
      </c>
      <c r="D451" s="12" t="s">
        <v>592</v>
      </c>
      <c r="E451" s="14" t="s">
        <v>596</v>
      </c>
      <c r="F451" s="12" t="s">
        <v>441</v>
      </c>
      <c r="G451" s="15">
        <v>98</v>
      </c>
      <c r="H451" s="12" t="s">
        <v>589</v>
      </c>
      <c r="I451" s="12" t="s">
        <v>22</v>
      </c>
      <c r="K451" s="16">
        <v>23.07</v>
      </c>
      <c r="L451" s="16">
        <v>35.270000000000003</v>
      </c>
      <c r="M451" s="16">
        <v>24.29</v>
      </c>
    </row>
    <row r="452" spans="2:13" outlineLevel="3" x14ac:dyDescent="0.2">
      <c r="B452" s="4" t="str">
        <f t="shared" si="11"/>
        <v>0004610100</v>
      </c>
      <c r="C452" s="5" t="str">
        <f>"500454"</f>
        <v>500454</v>
      </c>
      <c r="D452" s="12" t="s">
        <v>591</v>
      </c>
      <c r="E452" s="14" t="s">
        <v>596</v>
      </c>
      <c r="F452" s="12" t="s">
        <v>441</v>
      </c>
      <c r="G452" s="15">
        <v>98</v>
      </c>
      <c r="H452" s="12" t="s">
        <v>589</v>
      </c>
      <c r="I452" s="12" t="s">
        <v>22</v>
      </c>
      <c r="K452" s="16">
        <v>23.07</v>
      </c>
      <c r="L452" s="16">
        <v>35.270000000000003</v>
      </c>
      <c r="M452" s="16">
        <v>24.29</v>
      </c>
    </row>
    <row r="453" spans="2:13" outlineLevel="3" x14ac:dyDescent="0.2">
      <c r="B453" s="4" t="str">
        <f t="shared" si="11"/>
        <v>0004610100</v>
      </c>
      <c r="C453" s="5" t="str">
        <f>"035563"</f>
        <v>035563</v>
      </c>
      <c r="D453" s="12" t="s">
        <v>593</v>
      </c>
      <c r="E453" s="14" t="s">
        <v>596</v>
      </c>
      <c r="F453" s="12" t="s">
        <v>441</v>
      </c>
      <c r="G453" s="15">
        <v>100</v>
      </c>
      <c r="H453" s="12" t="s">
        <v>589</v>
      </c>
      <c r="I453" s="12" t="s">
        <v>5</v>
      </c>
      <c r="K453" s="16">
        <v>15.72</v>
      </c>
      <c r="L453" s="16">
        <v>24.35</v>
      </c>
      <c r="M453" s="16">
        <v>24.29</v>
      </c>
    </row>
    <row r="454" spans="2:13" ht="22.5" outlineLevel="3" x14ac:dyDescent="0.2">
      <c r="B454" s="4" t="str">
        <f t="shared" si="11"/>
        <v>0004610100</v>
      </c>
      <c r="C454" s="5" t="str">
        <f>"070406"</f>
        <v>070406</v>
      </c>
      <c r="D454" s="12" t="s">
        <v>594</v>
      </c>
      <c r="E454" s="14" t="s">
        <v>596</v>
      </c>
      <c r="F454" s="12" t="s">
        <v>441</v>
      </c>
      <c r="G454" s="15">
        <v>100</v>
      </c>
      <c r="H454" s="12" t="s">
        <v>589</v>
      </c>
      <c r="I454" s="12" t="s">
        <v>104</v>
      </c>
      <c r="K454" s="16">
        <v>15.72</v>
      </c>
      <c r="L454" s="16">
        <v>24.35</v>
      </c>
      <c r="M454" s="16">
        <v>24.29</v>
      </c>
    </row>
    <row r="455" spans="2:13" ht="22.5" outlineLevel="3" x14ac:dyDescent="0.2">
      <c r="B455" s="4" t="str">
        <f t="shared" si="11"/>
        <v>0004610100</v>
      </c>
      <c r="C455" s="5" t="str">
        <f>"436043"</f>
        <v>436043</v>
      </c>
      <c r="D455" s="12" t="s">
        <v>587</v>
      </c>
      <c r="E455" s="14" t="s">
        <v>596</v>
      </c>
      <c r="F455" s="12" t="s">
        <v>441</v>
      </c>
      <c r="G455" s="15">
        <v>100</v>
      </c>
      <c r="H455" s="12" t="s">
        <v>589</v>
      </c>
      <c r="I455" s="12" t="s">
        <v>509</v>
      </c>
      <c r="K455" s="16">
        <v>15.72</v>
      </c>
      <c r="L455" s="16">
        <v>24.35</v>
      </c>
      <c r="M455" s="16">
        <v>24.29</v>
      </c>
    </row>
    <row r="456" spans="2:13" outlineLevel="3" x14ac:dyDescent="0.2">
      <c r="B456" s="4" t="str">
        <f t="shared" si="11"/>
        <v>0004610100</v>
      </c>
      <c r="C456" s="5" t="str">
        <f>"021921"</f>
        <v>021921</v>
      </c>
      <c r="D456" s="12" t="s">
        <v>590</v>
      </c>
      <c r="E456" s="14" t="s">
        <v>596</v>
      </c>
      <c r="F456" s="12" t="s">
        <v>441</v>
      </c>
      <c r="G456" s="15">
        <v>100</v>
      </c>
      <c r="H456" s="12" t="s">
        <v>589</v>
      </c>
      <c r="I456" s="12" t="s">
        <v>62</v>
      </c>
      <c r="K456" s="16">
        <v>15.71</v>
      </c>
      <c r="L456" s="16">
        <v>24.34</v>
      </c>
      <c r="M456" s="16">
        <v>24.29</v>
      </c>
    </row>
    <row r="457" spans="2:13" outlineLevel="3" x14ac:dyDescent="0.2">
      <c r="B457" s="4" t="str">
        <f t="shared" si="11"/>
        <v>0004610100</v>
      </c>
      <c r="C457" s="5" t="str">
        <f>"087149"</f>
        <v>087149</v>
      </c>
      <c r="D457" s="12" t="s">
        <v>595</v>
      </c>
      <c r="E457" s="14" t="s">
        <v>596</v>
      </c>
      <c r="F457" s="12" t="s">
        <v>441</v>
      </c>
      <c r="G457" s="15">
        <v>100</v>
      </c>
      <c r="H457" s="12" t="s">
        <v>589</v>
      </c>
      <c r="I457" s="12" t="s">
        <v>11</v>
      </c>
      <c r="K457" s="16">
        <v>14.67</v>
      </c>
      <c r="L457" s="16">
        <v>22.79</v>
      </c>
      <c r="M457" s="16">
        <v>24.29</v>
      </c>
    </row>
    <row r="458" spans="2:13" outlineLevel="2" x14ac:dyDescent="0.2"/>
    <row r="459" spans="2:13" outlineLevel="3" x14ac:dyDescent="0.2">
      <c r="B459" s="4" t="str">
        <f>"0007440030"</f>
        <v>0007440030</v>
      </c>
      <c r="C459" s="5" t="str">
        <f>"021866"</f>
        <v>021866</v>
      </c>
      <c r="D459" s="12" t="s">
        <v>590</v>
      </c>
      <c r="E459" s="14" t="s">
        <v>835</v>
      </c>
      <c r="F459" s="12" t="s">
        <v>441</v>
      </c>
      <c r="G459" s="15">
        <v>30</v>
      </c>
      <c r="H459" s="12" t="s">
        <v>589</v>
      </c>
      <c r="I459" s="12" t="s">
        <v>62</v>
      </c>
      <c r="K459" s="16">
        <v>2.16</v>
      </c>
      <c r="L459" s="16">
        <v>3.44</v>
      </c>
      <c r="M459" s="16">
        <v>4.9400000000000004</v>
      </c>
    </row>
    <row r="460" spans="2:13" ht="22.5" outlineLevel="3" x14ac:dyDescent="0.2">
      <c r="B460" s="4" t="str">
        <f>"0007440030"</f>
        <v>0007440030</v>
      </c>
      <c r="C460" s="5" t="str">
        <f>"070349"</f>
        <v>070349</v>
      </c>
      <c r="D460" s="12" t="s">
        <v>594</v>
      </c>
      <c r="E460" s="14" t="s">
        <v>835</v>
      </c>
      <c r="F460" s="12" t="s">
        <v>441</v>
      </c>
      <c r="G460" s="15">
        <v>30</v>
      </c>
      <c r="H460" s="12" t="s">
        <v>589</v>
      </c>
      <c r="I460" s="12" t="s">
        <v>104</v>
      </c>
      <c r="K460" s="16">
        <v>2.16</v>
      </c>
      <c r="L460" s="16">
        <v>3.44</v>
      </c>
      <c r="M460" s="16">
        <v>4.9400000000000004</v>
      </c>
    </row>
    <row r="461" spans="2:13" ht="22.5" outlineLevel="3" x14ac:dyDescent="0.2">
      <c r="B461" s="4" t="str">
        <f>"0007440030"</f>
        <v>0007440030</v>
      </c>
      <c r="C461" s="5" t="str">
        <f>"487713"</f>
        <v>487713</v>
      </c>
      <c r="D461" s="12" t="s">
        <v>587</v>
      </c>
      <c r="E461" s="14" t="s">
        <v>835</v>
      </c>
      <c r="F461" s="12" t="s">
        <v>441</v>
      </c>
      <c r="G461" s="15">
        <v>30</v>
      </c>
      <c r="H461" s="12" t="s">
        <v>589</v>
      </c>
      <c r="I461" s="12" t="s">
        <v>509</v>
      </c>
      <c r="K461" s="16">
        <v>2.16</v>
      </c>
      <c r="L461" s="16">
        <v>3.44</v>
      </c>
      <c r="M461" s="16">
        <v>4.9400000000000004</v>
      </c>
    </row>
    <row r="462" spans="2:13" outlineLevel="2" x14ac:dyDescent="0.2"/>
    <row r="463" spans="2:13" outlineLevel="3" x14ac:dyDescent="0.2">
      <c r="B463" s="4" t="str">
        <f>"0007440100"</f>
        <v>0007440100</v>
      </c>
      <c r="C463" s="5" t="str">
        <f>"021855"</f>
        <v>021855</v>
      </c>
      <c r="D463" s="12" t="s">
        <v>590</v>
      </c>
      <c r="E463" s="14" t="s">
        <v>835</v>
      </c>
      <c r="F463" s="12" t="s">
        <v>441</v>
      </c>
      <c r="G463" s="15">
        <v>100</v>
      </c>
      <c r="H463" s="12" t="s">
        <v>589</v>
      </c>
      <c r="I463" s="12" t="s">
        <v>62</v>
      </c>
      <c r="K463" s="16">
        <v>6.49</v>
      </c>
      <c r="L463" s="16">
        <v>10.35</v>
      </c>
      <c r="M463" s="16">
        <v>11.85</v>
      </c>
    </row>
    <row r="464" spans="2:13" outlineLevel="3" x14ac:dyDescent="0.2">
      <c r="B464" s="4" t="str">
        <f>"0007440100"</f>
        <v>0007440100</v>
      </c>
      <c r="C464" s="5" t="str">
        <f>"035494"</f>
        <v>035494</v>
      </c>
      <c r="D464" s="12" t="s">
        <v>593</v>
      </c>
      <c r="E464" s="14" t="s">
        <v>835</v>
      </c>
      <c r="F464" s="12" t="s">
        <v>441</v>
      </c>
      <c r="G464" s="15">
        <v>100</v>
      </c>
      <c r="H464" s="12" t="s">
        <v>589</v>
      </c>
      <c r="I464" s="12" t="s">
        <v>5</v>
      </c>
      <c r="K464" s="16">
        <v>6.49</v>
      </c>
      <c r="L464" s="16">
        <v>10.35</v>
      </c>
      <c r="M464" s="16">
        <v>11.85</v>
      </c>
    </row>
    <row r="465" spans="2:13" ht="22.5" outlineLevel="3" x14ac:dyDescent="0.2">
      <c r="B465" s="4" t="str">
        <f>"0007440100"</f>
        <v>0007440100</v>
      </c>
      <c r="C465" s="5" t="str">
        <f>"070361"</f>
        <v>070361</v>
      </c>
      <c r="D465" s="12" t="s">
        <v>594</v>
      </c>
      <c r="E465" s="14" t="s">
        <v>835</v>
      </c>
      <c r="F465" s="12" t="s">
        <v>441</v>
      </c>
      <c r="G465" s="15">
        <v>100</v>
      </c>
      <c r="H465" s="12" t="s">
        <v>589</v>
      </c>
      <c r="I465" s="12" t="s">
        <v>104</v>
      </c>
      <c r="K465" s="16">
        <v>6.49</v>
      </c>
      <c r="L465" s="16">
        <v>10.35</v>
      </c>
      <c r="M465" s="16">
        <v>11.85</v>
      </c>
    </row>
    <row r="466" spans="2:13" ht="22.5" outlineLevel="3" x14ac:dyDescent="0.2">
      <c r="B466" s="4" t="str">
        <f>"0007440100"</f>
        <v>0007440100</v>
      </c>
      <c r="C466" s="5" t="str">
        <f>"137437"</f>
        <v>137437</v>
      </c>
      <c r="D466" s="12" t="s">
        <v>587</v>
      </c>
      <c r="E466" s="14" t="s">
        <v>835</v>
      </c>
      <c r="F466" s="12" t="s">
        <v>441</v>
      </c>
      <c r="G466" s="15">
        <v>100</v>
      </c>
      <c r="H466" s="12" t="s">
        <v>589</v>
      </c>
      <c r="I466" s="12" t="s">
        <v>509</v>
      </c>
      <c r="K466" s="16">
        <v>6.49</v>
      </c>
      <c r="L466" s="16">
        <v>10.35</v>
      </c>
      <c r="M466" s="16">
        <v>11.85</v>
      </c>
    </row>
    <row r="467" spans="2:13" outlineLevel="2" x14ac:dyDescent="0.2"/>
    <row r="468" spans="2:13" outlineLevel="3" x14ac:dyDescent="0.2">
      <c r="B468" s="4" t="str">
        <f>"0007450030"</f>
        <v>0007450030</v>
      </c>
      <c r="C468" s="5" t="str">
        <f>"035516"</f>
        <v>035516</v>
      </c>
      <c r="D468" s="12" t="s">
        <v>593</v>
      </c>
      <c r="E468" s="14" t="s">
        <v>836</v>
      </c>
      <c r="F468" s="12" t="s">
        <v>441</v>
      </c>
      <c r="G468" s="15">
        <v>30</v>
      </c>
      <c r="H468" s="12" t="s">
        <v>589</v>
      </c>
      <c r="I468" s="12" t="s">
        <v>5</v>
      </c>
      <c r="J468" s="2" t="s">
        <v>1400</v>
      </c>
      <c r="K468" s="16">
        <v>3.93</v>
      </c>
      <c r="L468" s="16">
        <v>6.27</v>
      </c>
      <c r="M468" s="16">
        <v>7.35</v>
      </c>
    </row>
    <row r="469" spans="2:13" outlineLevel="3" x14ac:dyDescent="0.2">
      <c r="B469" s="4" t="str">
        <f>"0007450030"</f>
        <v>0007450030</v>
      </c>
      <c r="C469" s="5" t="str">
        <f>"021888"</f>
        <v>021888</v>
      </c>
      <c r="D469" s="12" t="s">
        <v>590</v>
      </c>
      <c r="E469" s="14" t="s">
        <v>836</v>
      </c>
      <c r="F469" s="12" t="s">
        <v>441</v>
      </c>
      <c r="G469" s="15">
        <v>30</v>
      </c>
      <c r="H469" s="12" t="s">
        <v>589</v>
      </c>
      <c r="I469" s="12" t="s">
        <v>62</v>
      </c>
      <c r="K469" s="16">
        <v>3.93</v>
      </c>
      <c r="L469" s="16">
        <v>6.27</v>
      </c>
      <c r="M469" s="16">
        <v>7.35</v>
      </c>
    </row>
    <row r="470" spans="2:13" ht="22.5" outlineLevel="3" x14ac:dyDescent="0.2">
      <c r="B470" s="4" t="str">
        <f>"0007450030"</f>
        <v>0007450030</v>
      </c>
      <c r="C470" s="5" t="str">
        <f>"063302"</f>
        <v>063302</v>
      </c>
      <c r="D470" s="12" t="s">
        <v>587</v>
      </c>
      <c r="E470" s="14" t="s">
        <v>836</v>
      </c>
      <c r="F470" s="12" t="s">
        <v>441</v>
      </c>
      <c r="G470" s="15">
        <v>30</v>
      </c>
      <c r="H470" s="12" t="s">
        <v>589</v>
      </c>
      <c r="I470" s="12" t="s">
        <v>509</v>
      </c>
      <c r="K470" s="16">
        <v>3.93</v>
      </c>
      <c r="L470" s="16">
        <v>6.27</v>
      </c>
      <c r="M470" s="16">
        <v>7.35</v>
      </c>
    </row>
    <row r="471" spans="2:13" ht="22.5" outlineLevel="3" x14ac:dyDescent="0.2">
      <c r="B471" s="4" t="str">
        <f>"0007450030"</f>
        <v>0007450030</v>
      </c>
      <c r="C471" s="5" t="str">
        <f>"070372"</f>
        <v>070372</v>
      </c>
      <c r="D471" s="12" t="s">
        <v>594</v>
      </c>
      <c r="E471" s="14" t="s">
        <v>836</v>
      </c>
      <c r="F471" s="12" t="s">
        <v>441</v>
      </c>
      <c r="G471" s="15">
        <v>30</v>
      </c>
      <c r="H471" s="12" t="s">
        <v>589</v>
      </c>
      <c r="I471" s="12" t="s">
        <v>104</v>
      </c>
      <c r="K471" s="16">
        <v>3.93</v>
      </c>
      <c r="L471" s="16">
        <v>6.27</v>
      </c>
      <c r="M471" s="16">
        <v>7.35</v>
      </c>
    </row>
    <row r="472" spans="2:13" outlineLevel="3" x14ac:dyDescent="0.2">
      <c r="B472" s="4" t="str">
        <f>"0007450030"</f>
        <v>0007450030</v>
      </c>
      <c r="C472" s="5" t="str">
        <f>"472084"</f>
        <v>472084</v>
      </c>
      <c r="D472" s="12" t="s">
        <v>592</v>
      </c>
      <c r="E472" s="14" t="s">
        <v>836</v>
      </c>
      <c r="F472" s="12" t="s">
        <v>441</v>
      </c>
      <c r="G472" s="15">
        <v>28</v>
      </c>
      <c r="H472" s="12" t="s">
        <v>589</v>
      </c>
      <c r="I472" s="12" t="s">
        <v>22</v>
      </c>
      <c r="K472" s="16">
        <v>3.67</v>
      </c>
      <c r="L472" s="16">
        <v>5.85</v>
      </c>
      <c r="M472" s="16">
        <v>7.35</v>
      </c>
    </row>
    <row r="473" spans="2:13" outlineLevel="2" x14ac:dyDescent="0.2"/>
    <row r="474" spans="2:13" outlineLevel="3" x14ac:dyDescent="0.2">
      <c r="B474" s="4" t="str">
        <f t="shared" ref="B474:B479" si="12">"0007450100"</f>
        <v>0007450100</v>
      </c>
      <c r="C474" s="5" t="str">
        <f>"472092"</f>
        <v>472092</v>
      </c>
      <c r="D474" s="12" t="s">
        <v>592</v>
      </c>
      <c r="E474" s="14" t="s">
        <v>836</v>
      </c>
      <c r="F474" s="12" t="s">
        <v>441</v>
      </c>
      <c r="G474" s="15">
        <v>98</v>
      </c>
      <c r="H474" s="12" t="s">
        <v>589</v>
      </c>
      <c r="I474" s="12" t="s">
        <v>22</v>
      </c>
      <c r="K474" s="16">
        <v>12.85</v>
      </c>
      <c r="L474" s="16">
        <v>20.100000000000001</v>
      </c>
      <c r="M474" s="16">
        <v>18.29</v>
      </c>
    </row>
    <row r="475" spans="2:13" outlineLevel="3" x14ac:dyDescent="0.2">
      <c r="B475" s="4" t="str">
        <f t="shared" si="12"/>
        <v>0007450100</v>
      </c>
      <c r="C475" s="5" t="str">
        <f>"035528"</f>
        <v>035528</v>
      </c>
      <c r="D475" s="12" t="s">
        <v>593</v>
      </c>
      <c r="E475" s="14" t="s">
        <v>836</v>
      </c>
      <c r="F475" s="12" t="s">
        <v>441</v>
      </c>
      <c r="G475" s="15">
        <v>100</v>
      </c>
      <c r="H475" s="12" t="s">
        <v>589</v>
      </c>
      <c r="I475" s="12" t="s">
        <v>5</v>
      </c>
      <c r="J475" s="2" t="s">
        <v>1400</v>
      </c>
      <c r="K475" s="16">
        <v>11.67</v>
      </c>
      <c r="L475" s="16">
        <v>18.34</v>
      </c>
      <c r="M475" s="16">
        <v>18.29</v>
      </c>
    </row>
    <row r="476" spans="2:13" outlineLevel="3" x14ac:dyDescent="0.2">
      <c r="B476" s="4" t="str">
        <f t="shared" si="12"/>
        <v>0007450100</v>
      </c>
      <c r="C476" s="5" t="str">
        <f>"021877"</f>
        <v>021877</v>
      </c>
      <c r="D476" s="12" t="s">
        <v>590</v>
      </c>
      <c r="E476" s="14" t="s">
        <v>836</v>
      </c>
      <c r="F476" s="12" t="s">
        <v>441</v>
      </c>
      <c r="G476" s="15">
        <v>100</v>
      </c>
      <c r="H476" s="12" t="s">
        <v>589</v>
      </c>
      <c r="I476" s="12" t="s">
        <v>62</v>
      </c>
      <c r="K476" s="16">
        <v>11.67</v>
      </c>
      <c r="L476" s="16">
        <v>18.34</v>
      </c>
      <c r="M476" s="16">
        <v>18.29</v>
      </c>
    </row>
    <row r="477" spans="2:13" ht="22.5" outlineLevel="3" x14ac:dyDescent="0.2">
      <c r="B477" s="4" t="str">
        <f t="shared" si="12"/>
        <v>0007450100</v>
      </c>
      <c r="C477" s="5" t="str">
        <f>"070384"</f>
        <v>070384</v>
      </c>
      <c r="D477" s="12" t="s">
        <v>594</v>
      </c>
      <c r="E477" s="14" t="s">
        <v>836</v>
      </c>
      <c r="F477" s="12" t="s">
        <v>441</v>
      </c>
      <c r="G477" s="15">
        <v>100</v>
      </c>
      <c r="H477" s="12" t="s">
        <v>589</v>
      </c>
      <c r="I477" s="12" t="s">
        <v>104</v>
      </c>
      <c r="K477" s="16">
        <v>11.67</v>
      </c>
      <c r="L477" s="16">
        <v>18.34</v>
      </c>
      <c r="M477" s="16">
        <v>18.29</v>
      </c>
    </row>
    <row r="478" spans="2:13" ht="22.5" outlineLevel="3" x14ac:dyDescent="0.2">
      <c r="B478" s="4" t="str">
        <f t="shared" si="12"/>
        <v>0007450100</v>
      </c>
      <c r="C478" s="5" t="str">
        <f>"127623"</f>
        <v>127623</v>
      </c>
      <c r="D478" s="12" t="s">
        <v>587</v>
      </c>
      <c r="E478" s="14" t="s">
        <v>836</v>
      </c>
      <c r="F478" s="12" t="s">
        <v>441</v>
      </c>
      <c r="G478" s="15">
        <v>100</v>
      </c>
      <c r="H478" s="12" t="s">
        <v>589</v>
      </c>
      <c r="I478" s="12" t="s">
        <v>509</v>
      </c>
      <c r="K478" s="16">
        <v>11.67</v>
      </c>
      <c r="L478" s="16">
        <v>18.34</v>
      </c>
      <c r="M478" s="16">
        <v>18.29</v>
      </c>
    </row>
    <row r="479" spans="2:13" outlineLevel="3" x14ac:dyDescent="0.2">
      <c r="B479" s="4" t="str">
        <f t="shared" si="12"/>
        <v>0007450100</v>
      </c>
      <c r="C479" s="5" t="str">
        <f>"087127"</f>
        <v>087127</v>
      </c>
      <c r="D479" s="12" t="s">
        <v>595</v>
      </c>
      <c r="E479" s="14" t="s">
        <v>836</v>
      </c>
      <c r="F479" s="12" t="s">
        <v>441</v>
      </c>
      <c r="G479" s="15">
        <v>100</v>
      </c>
      <c r="H479" s="12" t="s">
        <v>589</v>
      </c>
      <c r="I479" s="12" t="s">
        <v>11</v>
      </c>
      <c r="K479" s="16">
        <v>10.62</v>
      </c>
      <c r="L479" s="16">
        <v>16.79</v>
      </c>
      <c r="M479" s="16">
        <v>18.29</v>
      </c>
    </row>
    <row r="480" spans="2:13" outlineLevel="2" x14ac:dyDescent="0.2"/>
    <row r="481" spans="1:13" outlineLevel="3" x14ac:dyDescent="0.2">
      <c r="B481" s="4" t="str">
        <f>"0007460030"</f>
        <v>0007460030</v>
      </c>
      <c r="C481" s="5" t="str">
        <f>"024919"</f>
        <v>024919</v>
      </c>
      <c r="D481" s="12" t="s">
        <v>837</v>
      </c>
      <c r="E481" s="14" t="s">
        <v>106</v>
      </c>
      <c r="F481" s="12" t="s">
        <v>73</v>
      </c>
      <c r="G481" s="15">
        <v>30</v>
      </c>
      <c r="H481" s="12" t="s">
        <v>589</v>
      </c>
      <c r="I481" s="12" t="s">
        <v>5</v>
      </c>
      <c r="K481" s="16">
        <v>2.27</v>
      </c>
      <c r="L481" s="16">
        <v>3.62</v>
      </c>
      <c r="M481" s="16">
        <v>5.12</v>
      </c>
    </row>
    <row r="482" spans="1:13" outlineLevel="2" x14ac:dyDescent="0.2"/>
    <row r="483" spans="1:13" outlineLevel="3" x14ac:dyDescent="0.2">
      <c r="B483" s="4" t="str">
        <f>"0007460100"</f>
        <v>0007460100</v>
      </c>
      <c r="C483" s="5" t="str">
        <f>"025239"</f>
        <v>025239</v>
      </c>
      <c r="D483" s="12" t="s">
        <v>837</v>
      </c>
      <c r="E483" s="14" t="s">
        <v>106</v>
      </c>
      <c r="F483" s="12" t="s">
        <v>73</v>
      </c>
      <c r="G483" s="15">
        <v>100</v>
      </c>
      <c r="H483" s="12" t="s">
        <v>589</v>
      </c>
      <c r="I483" s="12" t="s">
        <v>5</v>
      </c>
      <c r="K483" s="16">
        <v>6.27</v>
      </c>
      <c r="L483" s="16">
        <v>10</v>
      </c>
      <c r="M483" s="16">
        <v>11.5</v>
      </c>
    </row>
    <row r="484" spans="1:13" outlineLevel="3" x14ac:dyDescent="0.2">
      <c r="B484" s="4" t="str">
        <f>"0007460100"</f>
        <v>0007460100</v>
      </c>
      <c r="C484" s="5" t="str">
        <f>"422121"</f>
        <v>422121</v>
      </c>
      <c r="D484" s="12" t="s">
        <v>838</v>
      </c>
      <c r="E484" s="14" t="s">
        <v>106</v>
      </c>
      <c r="F484" s="12" t="s">
        <v>73</v>
      </c>
      <c r="G484" s="15">
        <v>100</v>
      </c>
      <c r="H484" s="12" t="s">
        <v>589</v>
      </c>
      <c r="I484" s="12" t="s">
        <v>22</v>
      </c>
      <c r="K484" s="16">
        <v>6.27</v>
      </c>
      <c r="L484" s="16">
        <v>10</v>
      </c>
      <c r="M484" s="16">
        <v>11.5</v>
      </c>
    </row>
    <row r="485" spans="1:13" outlineLevel="1" x14ac:dyDescent="0.2">
      <c r="A485" s="3"/>
    </row>
    <row r="486" spans="1:13" outlineLevel="2" x14ac:dyDescent="0.2">
      <c r="A486" s="3" t="s">
        <v>1430</v>
      </c>
    </row>
    <row r="487" spans="1:13" outlineLevel="3" x14ac:dyDescent="0.2">
      <c r="B487" s="4" t="str">
        <f>"0000720100"</f>
        <v>0000720100</v>
      </c>
      <c r="C487" s="5" t="str">
        <f>"047068"</f>
        <v>047068</v>
      </c>
      <c r="D487" s="12" t="s">
        <v>120</v>
      </c>
      <c r="E487" s="14" t="s">
        <v>118</v>
      </c>
      <c r="F487" s="12" t="s">
        <v>73</v>
      </c>
      <c r="G487" s="15">
        <v>100</v>
      </c>
      <c r="H487" s="12" t="s">
        <v>119</v>
      </c>
      <c r="I487" s="12" t="s">
        <v>39</v>
      </c>
      <c r="K487" s="16">
        <v>12.97</v>
      </c>
      <c r="L487" s="16">
        <v>20.27</v>
      </c>
      <c r="M487" s="16">
        <v>21.01</v>
      </c>
    </row>
    <row r="488" spans="1:13" ht="33.75" outlineLevel="3" x14ac:dyDescent="0.2">
      <c r="B488" s="4" t="str">
        <f>"0000720100"</f>
        <v>0000720100</v>
      </c>
      <c r="C488" s="5" t="str">
        <f>"035097"</f>
        <v>035097</v>
      </c>
      <c r="D488" s="12" t="s">
        <v>117</v>
      </c>
      <c r="E488" s="14" t="s">
        <v>118</v>
      </c>
      <c r="F488" s="12" t="s">
        <v>3</v>
      </c>
      <c r="G488" s="15">
        <v>100</v>
      </c>
      <c r="H488" s="12" t="s">
        <v>119</v>
      </c>
      <c r="I488" s="12" t="s">
        <v>11</v>
      </c>
      <c r="K488" s="16">
        <v>12.46</v>
      </c>
      <c r="L488" s="16">
        <v>19.510000000000002</v>
      </c>
      <c r="M488" s="16">
        <v>21.01</v>
      </c>
    </row>
    <row r="489" spans="1:13" ht="33.75" outlineLevel="3" x14ac:dyDescent="0.2">
      <c r="B489" s="4" t="str">
        <f>"0000720100"</f>
        <v>0000720100</v>
      </c>
      <c r="C489" s="5" t="str">
        <f>"492207"</f>
        <v>492207</v>
      </c>
      <c r="D489" s="12" t="s">
        <v>121</v>
      </c>
      <c r="E489" s="14" t="s">
        <v>118</v>
      </c>
      <c r="F489" s="12" t="s">
        <v>3</v>
      </c>
      <c r="G489" s="15">
        <v>100</v>
      </c>
      <c r="H489" s="12" t="s">
        <v>119</v>
      </c>
      <c r="I489" s="12" t="s">
        <v>5</v>
      </c>
      <c r="K489" s="16">
        <v>12.46</v>
      </c>
      <c r="L489" s="16">
        <v>19.510000000000002</v>
      </c>
      <c r="M489" s="16">
        <v>21.01</v>
      </c>
    </row>
    <row r="490" spans="1:13" outlineLevel="2" x14ac:dyDescent="0.2"/>
    <row r="491" spans="1:13" outlineLevel="3" x14ac:dyDescent="0.2">
      <c r="B491" s="4" t="str">
        <f>"0000730100"</f>
        <v>0000730100</v>
      </c>
      <c r="C491" s="5" t="str">
        <f>"011067"</f>
        <v>011067</v>
      </c>
      <c r="D491" s="12" t="s">
        <v>122</v>
      </c>
      <c r="E491" s="14" t="s">
        <v>102</v>
      </c>
      <c r="F491" s="12" t="s">
        <v>73</v>
      </c>
      <c r="G491" s="15" t="s">
        <v>123</v>
      </c>
      <c r="H491" s="12" t="s">
        <v>119</v>
      </c>
      <c r="I491" s="12" t="s">
        <v>124</v>
      </c>
      <c r="K491" s="16">
        <v>4.03</v>
      </c>
      <c r="L491" s="16">
        <v>6.42</v>
      </c>
      <c r="M491" s="16">
        <v>7.92</v>
      </c>
    </row>
    <row r="492" spans="1:13" ht="33.75" outlineLevel="3" x14ac:dyDescent="0.2">
      <c r="B492" s="4" t="str">
        <f>"0000730100"</f>
        <v>0000730100</v>
      </c>
      <c r="C492" s="5" t="str">
        <f>"405605"</f>
        <v>405605</v>
      </c>
      <c r="D492" s="12" t="s">
        <v>117</v>
      </c>
      <c r="E492" s="14" t="s">
        <v>102</v>
      </c>
      <c r="F492" s="12" t="s">
        <v>3</v>
      </c>
      <c r="G492" s="15">
        <v>100</v>
      </c>
      <c r="H492" s="12" t="s">
        <v>119</v>
      </c>
      <c r="I492" s="12" t="s">
        <v>11</v>
      </c>
      <c r="K492" s="16">
        <v>4.03</v>
      </c>
      <c r="L492" s="16">
        <v>6.42</v>
      </c>
      <c r="M492" s="16">
        <v>7.92</v>
      </c>
    </row>
    <row r="493" spans="1:13" ht="33.75" outlineLevel="3" x14ac:dyDescent="0.2">
      <c r="B493" s="4" t="str">
        <f>"0000730100"</f>
        <v>0000730100</v>
      </c>
      <c r="C493" s="5" t="str">
        <f>"491944"</f>
        <v>491944</v>
      </c>
      <c r="D493" s="12" t="s">
        <v>121</v>
      </c>
      <c r="E493" s="14" t="s">
        <v>102</v>
      </c>
      <c r="F493" s="12" t="s">
        <v>3</v>
      </c>
      <c r="G493" s="15">
        <v>100</v>
      </c>
      <c r="H493" s="12" t="s">
        <v>119</v>
      </c>
      <c r="I493" s="12" t="s">
        <v>5</v>
      </c>
      <c r="K493" s="16">
        <v>4.03</v>
      </c>
      <c r="L493" s="16">
        <v>6.42</v>
      </c>
      <c r="M493" s="16">
        <v>7.92</v>
      </c>
    </row>
    <row r="494" spans="1:13" outlineLevel="3" x14ac:dyDescent="0.2">
      <c r="B494" s="4" t="str">
        <f>"0000730100"</f>
        <v>0000730100</v>
      </c>
      <c r="C494" s="5" t="str">
        <f>"503052"</f>
        <v>503052</v>
      </c>
      <c r="D494" s="12" t="s">
        <v>120</v>
      </c>
      <c r="E494" s="14" t="s">
        <v>102</v>
      </c>
      <c r="F494" s="12" t="s">
        <v>73</v>
      </c>
      <c r="G494" s="15">
        <v>100</v>
      </c>
      <c r="H494" s="12" t="s">
        <v>119</v>
      </c>
      <c r="I494" s="12" t="s">
        <v>39</v>
      </c>
      <c r="K494" s="16">
        <v>4.03</v>
      </c>
      <c r="L494" s="16">
        <v>6.42</v>
      </c>
      <c r="M494" s="16">
        <v>7.92</v>
      </c>
    </row>
    <row r="495" spans="1:13" outlineLevel="2" x14ac:dyDescent="0.2"/>
    <row r="496" spans="1:13" outlineLevel="3" x14ac:dyDescent="0.2">
      <c r="B496" s="4" t="str">
        <f>"0000740100"</f>
        <v>0000740100</v>
      </c>
      <c r="C496" s="5" t="str">
        <f>"009637"</f>
        <v>009637</v>
      </c>
      <c r="D496" s="12" t="s">
        <v>122</v>
      </c>
      <c r="E496" s="14" t="s">
        <v>106</v>
      </c>
      <c r="F496" s="12" t="s">
        <v>73</v>
      </c>
      <c r="G496" s="15" t="s">
        <v>123</v>
      </c>
      <c r="H496" s="12" t="s">
        <v>119</v>
      </c>
      <c r="I496" s="12" t="s">
        <v>124</v>
      </c>
      <c r="K496" s="16">
        <v>6.5</v>
      </c>
      <c r="L496" s="16">
        <v>10.37</v>
      </c>
      <c r="M496" s="16">
        <v>11.87</v>
      </c>
    </row>
    <row r="497" spans="1:13" ht="33.75" outlineLevel="3" x14ac:dyDescent="0.2">
      <c r="B497" s="4" t="str">
        <f>"0000740100"</f>
        <v>0000740100</v>
      </c>
      <c r="C497" s="5" t="str">
        <f>"034967"</f>
        <v>034967</v>
      </c>
      <c r="D497" s="12" t="s">
        <v>117</v>
      </c>
      <c r="E497" s="14" t="s">
        <v>106</v>
      </c>
      <c r="F497" s="12" t="s">
        <v>3</v>
      </c>
      <c r="G497" s="15">
        <v>100</v>
      </c>
      <c r="H497" s="12" t="s">
        <v>119</v>
      </c>
      <c r="I497" s="12" t="s">
        <v>11</v>
      </c>
      <c r="K497" s="16">
        <v>6.5</v>
      </c>
      <c r="L497" s="16">
        <v>10.37</v>
      </c>
      <c r="M497" s="16">
        <v>11.87</v>
      </c>
    </row>
    <row r="498" spans="1:13" ht="33.75" outlineLevel="3" x14ac:dyDescent="0.2">
      <c r="B498" s="4" t="str">
        <f>"0000740100"</f>
        <v>0000740100</v>
      </c>
      <c r="C498" s="5" t="str">
        <f>"492116"</f>
        <v>492116</v>
      </c>
      <c r="D498" s="12" t="s">
        <v>121</v>
      </c>
      <c r="E498" s="14" t="s">
        <v>106</v>
      </c>
      <c r="F498" s="12" t="s">
        <v>3</v>
      </c>
      <c r="G498" s="15">
        <v>100</v>
      </c>
      <c r="H498" s="12" t="s">
        <v>119</v>
      </c>
      <c r="I498" s="12" t="s">
        <v>5</v>
      </c>
      <c r="K498" s="16">
        <v>6.5</v>
      </c>
      <c r="L498" s="16">
        <v>10.37</v>
      </c>
      <c r="M498" s="16">
        <v>11.87</v>
      </c>
    </row>
    <row r="499" spans="1:13" outlineLevel="3" x14ac:dyDescent="0.2">
      <c r="B499" s="4" t="str">
        <f>"0000740100"</f>
        <v>0000740100</v>
      </c>
      <c r="C499" s="5" t="str">
        <f>"494344"</f>
        <v>494344</v>
      </c>
      <c r="D499" s="12" t="s">
        <v>120</v>
      </c>
      <c r="E499" s="14" t="s">
        <v>106</v>
      </c>
      <c r="F499" s="12" t="s">
        <v>73</v>
      </c>
      <c r="G499" s="15">
        <v>100</v>
      </c>
      <c r="H499" s="12" t="s">
        <v>119</v>
      </c>
      <c r="I499" s="12" t="s">
        <v>39</v>
      </c>
      <c r="K499" s="16">
        <v>6.5</v>
      </c>
      <c r="L499" s="16">
        <v>10.37</v>
      </c>
      <c r="M499" s="16">
        <v>11.87</v>
      </c>
    </row>
    <row r="500" spans="1:13" outlineLevel="1" x14ac:dyDescent="0.2">
      <c r="A500" s="3"/>
    </row>
    <row r="501" spans="1:13" outlineLevel="2" x14ac:dyDescent="0.2">
      <c r="A501" s="3" t="s">
        <v>1431</v>
      </c>
    </row>
    <row r="502" spans="1:13" ht="33.75" outlineLevel="3" x14ac:dyDescent="0.2">
      <c r="B502" s="4" t="str">
        <f>"0000780030"</f>
        <v>0000780030</v>
      </c>
      <c r="C502" s="5" t="str">
        <f>"118193"</f>
        <v>118193</v>
      </c>
      <c r="D502" s="12" t="s">
        <v>125</v>
      </c>
      <c r="E502" s="14" t="s">
        <v>82</v>
      </c>
      <c r="F502" s="12" t="s">
        <v>3</v>
      </c>
      <c r="G502" s="15">
        <v>30</v>
      </c>
      <c r="H502" s="12" t="s">
        <v>126</v>
      </c>
      <c r="I502" s="12" t="s">
        <v>79</v>
      </c>
      <c r="J502" s="2" t="s">
        <v>1400</v>
      </c>
      <c r="K502" s="16">
        <v>5.95</v>
      </c>
      <c r="L502" s="16">
        <v>9.49</v>
      </c>
      <c r="M502" s="16">
        <v>10.99</v>
      </c>
    </row>
    <row r="503" spans="1:13" ht="33.75" outlineLevel="3" x14ac:dyDescent="0.2">
      <c r="B503" s="4" t="str">
        <f>"0000780030"</f>
        <v>0000780030</v>
      </c>
      <c r="C503" s="5" t="str">
        <f>"002116"</f>
        <v>002116</v>
      </c>
      <c r="D503" s="12" t="s">
        <v>127</v>
      </c>
      <c r="E503" s="14" t="s">
        <v>82</v>
      </c>
      <c r="F503" s="12" t="s">
        <v>3</v>
      </c>
      <c r="G503" s="15">
        <v>30</v>
      </c>
      <c r="H503" s="12" t="s">
        <v>126</v>
      </c>
      <c r="I503" s="12" t="s">
        <v>58</v>
      </c>
      <c r="K503" s="16">
        <v>5.95</v>
      </c>
      <c r="L503" s="16">
        <v>9.49</v>
      </c>
      <c r="M503" s="16">
        <v>10.99</v>
      </c>
    </row>
    <row r="504" spans="1:13" ht="33.75" outlineLevel="3" x14ac:dyDescent="0.2">
      <c r="B504" s="4" t="str">
        <f>"0000780030"</f>
        <v>0000780030</v>
      </c>
      <c r="C504" s="5" t="str">
        <f>"070263"</f>
        <v>070263</v>
      </c>
      <c r="D504" s="12" t="s">
        <v>128</v>
      </c>
      <c r="E504" s="14" t="s">
        <v>82</v>
      </c>
      <c r="F504" s="12" t="s">
        <v>3</v>
      </c>
      <c r="G504" s="15">
        <v>30</v>
      </c>
      <c r="H504" s="12" t="s">
        <v>126</v>
      </c>
      <c r="I504" s="12" t="s">
        <v>30</v>
      </c>
      <c r="K504" s="16">
        <v>5.95</v>
      </c>
      <c r="L504" s="16">
        <v>9.49</v>
      </c>
      <c r="M504" s="16">
        <v>10.99</v>
      </c>
    </row>
    <row r="505" spans="1:13" outlineLevel="3" x14ac:dyDescent="0.2">
      <c r="B505" s="4" t="str">
        <f>"0000780030"</f>
        <v>0000780030</v>
      </c>
      <c r="C505" s="5" t="str">
        <f>"180820"</f>
        <v>180820</v>
      </c>
      <c r="D505" s="12" t="s">
        <v>129</v>
      </c>
      <c r="E505" s="14" t="s">
        <v>82</v>
      </c>
      <c r="F505" s="12" t="s">
        <v>73</v>
      </c>
      <c r="G505" s="15">
        <v>30</v>
      </c>
      <c r="H505" s="12" t="s">
        <v>126</v>
      </c>
      <c r="I505" s="12" t="s">
        <v>64</v>
      </c>
      <c r="K505" s="16">
        <v>5.95</v>
      </c>
      <c r="L505" s="16">
        <v>9.49</v>
      </c>
      <c r="M505" s="16">
        <v>10.99</v>
      </c>
    </row>
    <row r="506" spans="1:13" ht="33.75" outlineLevel="3" x14ac:dyDescent="0.2">
      <c r="B506" s="4" t="str">
        <f>"0000780030"</f>
        <v>0000780030</v>
      </c>
      <c r="C506" s="5" t="str">
        <f>"474353"</f>
        <v>474353</v>
      </c>
      <c r="D506" s="12" t="s">
        <v>130</v>
      </c>
      <c r="E506" s="14" t="s">
        <v>82</v>
      </c>
      <c r="F506" s="12" t="s">
        <v>3</v>
      </c>
      <c r="G506" s="15">
        <v>30</v>
      </c>
      <c r="H506" s="12" t="s">
        <v>126</v>
      </c>
      <c r="I506" s="12" t="s">
        <v>131</v>
      </c>
      <c r="K506" s="16">
        <v>5.95</v>
      </c>
      <c r="L506" s="16">
        <v>9.49</v>
      </c>
      <c r="M506" s="16">
        <v>10.99</v>
      </c>
    </row>
    <row r="507" spans="1:13" outlineLevel="2" x14ac:dyDescent="0.2"/>
    <row r="508" spans="1:13" ht="33.75" outlineLevel="3" x14ac:dyDescent="0.2">
      <c r="B508" s="4" t="str">
        <f t="shared" ref="B508:B515" si="13">"0000780100"</f>
        <v>0000780100</v>
      </c>
      <c r="C508" s="5" t="str">
        <f>"051261"</f>
        <v>051261</v>
      </c>
      <c r="D508" s="12" t="s">
        <v>125</v>
      </c>
      <c r="E508" s="14" t="s">
        <v>82</v>
      </c>
      <c r="F508" s="12" t="s">
        <v>3</v>
      </c>
      <c r="G508" s="15">
        <v>100</v>
      </c>
      <c r="H508" s="12" t="s">
        <v>126</v>
      </c>
      <c r="I508" s="12" t="s">
        <v>79</v>
      </c>
      <c r="J508" s="2" t="s">
        <v>1400</v>
      </c>
      <c r="K508" s="16">
        <v>17.87</v>
      </c>
      <c r="L508" s="16">
        <v>27.54</v>
      </c>
      <c r="M508" s="16">
        <v>16.920000000000002</v>
      </c>
    </row>
    <row r="509" spans="1:13" ht="33.75" outlineLevel="3" x14ac:dyDescent="0.2">
      <c r="B509" s="4" t="str">
        <f t="shared" si="13"/>
        <v>0000780100</v>
      </c>
      <c r="C509" s="5" t="str">
        <f>"474411"</f>
        <v>474411</v>
      </c>
      <c r="D509" s="12" t="s">
        <v>130</v>
      </c>
      <c r="E509" s="14" t="s">
        <v>82</v>
      </c>
      <c r="F509" s="12" t="s">
        <v>3</v>
      </c>
      <c r="G509" s="15">
        <v>100</v>
      </c>
      <c r="H509" s="12" t="s">
        <v>126</v>
      </c>
      <c r="I509" s="12" t="s">
        <v>131</v>
      </c>
      <c r="K509" s="16">
        <v>17.87</v>
      </c>
      <c r="L509" s="16">
        <v>27.54</v>
      </c>
      <c r="M509" s="16">
        <v>16.920000000000002</v>
      </c>
    </row>
    <row r="510" spans="1:13" ht="33.75" outlineLevel="3" x14ac:dyDescent="0.2">
      <c r="B510" s="4" t="str">
        <f t="shared" si="13"/>
        <v>0000780100</v>
      </c>
      <c r="C510" s="5" t="str">
        <f>"002039"</f>
        <v>002039</v>
      </c>
      <c r="D510" s="12" t="s">
        <v>127</v>
      </c>
      <c r="E510" s="14" t="s">
        <v>82</v>
      </c>
      <c r="F510" s="12" t="s">
        <v>3</v>
      </c>
      <c r="G510" s="15">
        <v>100</v>
      </c>
      <c r="H510" s="12" t="s">
        <v>126</v>
      </c>
      <c r="I510" s="12" t="s">
        <v>58</v>
      </c>
      <c r="K510" s="16">
        <v>10.75</v>
      </c>
      <c r="L510" s="16">
        <v>16.97</v>
      </c>
      <c r="M510" s="16">
        <v>16.920000000000002</v>
      </c>
    </row>
    <row r="511" spans="1:13" ht="22.5" outlineLevel="3" x14ac:dyDescent="0.2">
      <c r="B511" s="4" t="str">
        <f t="shared" si="13"/>
        <v>0000780100</v>
      </c>
      <c r="C511" s="5" t="str">
        <f>"005524"</f>
        <v>005524</v>
      </c>
      <c r="D511" s="12" t="s">
        <v>132</v>
      </c>
      <c r="E511" s="14" t="s">
        <v>82</v>
      </c>
      <c r="F511" s="12" t="s">
        <v>73</v>
      </c>
      <c r="G511" s="15">
        <v>100</v>
      </c>
      <c r="H511" s="12" t="s">
        <v>126</v>
      </c>
      <c r="I511" s="12" t="s">
        <v>133</v>
      </c>
      <c r="K511" s="16">
        <v>10.75</v>
      </c>
      <c r="L511" s="16">
        <v>16.97</v>
      </c>
      <c r="M511" s="16">
        <v>16.920000000000002</v>
      </c>
    </row>
    <row r="512" spans="1:13" outlineLevel="3" x14ac:dyDescent="0.2">
      <c r="B512" s="4" t="str">
        <f t="shared" si="13"/>
        <v>0000780100</v>
      </c>
      <c r="C512" s="5" t="str">
        <f>"040160"</f>
        <v>040160</v>
      </c>
      <c r="D512" s="12" t="s">
        <v>134</v>
      </c>
      <c r="E512" s="14" t="s">
        <v>82</v>
      </c>
      <c r="F512" s="12" t="s">
        <v>73</v>
      </c>
      <c r="G512" s="15">
        <v>98</v>
      </c>
      <c r="H512" s="12" t="s">
        <v>126</v>
      </c>
      <c r="I512" s="12" t="s">
        <v>5</v>
      </c>
      <c r="K512" s="16">
        <v>10.75</v>
      </c>
      <c r="L512" s="16">
        <v>16.97</v>
      </c>
      <c r="M512" s="16">
        <v>16.920000000000002</v>
      </c>
    </row>
    <row r="513" spans="2:13" ht="33.75" outlineLevel="3" x14ac:dyDescent="0.2">
      <c r="B513" s="4" t="str">
        <f t="shared" si="13"/>
        <v>0000780100</v>
      </c>
      <c r="C513" s="5" t="str">
        <f>"104332"</f>
        <v>104332</v>
      </c>
      <c r="D513" s="12" t="s">
        <v>128</v>
      </c>
      <c r="E513" s="14" t="s">
        <v>82</v>
      </c>
      <c r="F513" s="12" t="s">
        <v>3</v>
      </c>
      <c r="G513" s="15">
        <v>100</v>
      </c>
      <c r="H513" s="12" t="s">
        <v>126</v>
      </c>
      <c r="I513" s="12" t="s">
        <v>30</v>
      </c>
      <c r="K513" s="16">
        <v>10.75</v>
      </c>
      <c r="L513" s="16">
        <v>16.97</v>
      </c>
      <c r="M513" s="16">
        <v>16.920000000000002</v>
      </c>
    </row>
    <row r="514" spans="2:13" ht="33.75" outlineLevel="3" x14ac:dyDescent="0.2">
      <c r="B514" s="4" t="str">
        <f t="shared" si="13"/>
        <v>0000780100</v>
      </c>
      <c r="C514" s="5" t="str">
        <f>"526529"</f>
        <v>526529</v>
      </c>
      <c r="D514" s="12" t="s">
        <v>135</v>
      </c>
      <c r="E514" s="14" t="s">
        <v>82</v>
      </c>
      <c r="F514" s="12" t="s">
        <v>3</v>
      </c>
      <c r="G514" s="15">
        <v>100</v>
      </c>
      <c r="H514" s="12" t="s">
        <v>126</v>
      </c>
      <c r="I514" s="12" t="s">
        <v>70</v>
      </c>
      <c r="K514" s="16">
        <v>10.75</v>
      </c>
      <c r="L514" s="16">
        <v>16.97</v>
      </c>
      <c r="M514" s="16">
        <v>16.920000000000002</v>
      </c>
    </row>
    <row r="515" spans="2:13" outlineLevel="3" x14ac:dyDescent="0.2">
      <c r="B515" s="4" t="str">
        <f t="shared" si="13"/>
        <v>0000780100</v>
      </c>
      <c r="C515" s="5" t="str">
        <f>"581317"</f>
        <v>581317</v>
      </c>
      <c r="D515" s="12" t="s">
        <v>129</v>
      </c>
      <c r="E515" s="14" t="s">
        <v>82</v>
      </c>
      <c r="F515" s="12" t="s">
        <v>73</v>
      </c>
      <c r="G515" s="15">
        <v>100</v>
      </c>
      <c r="H515" s="12" t="s">
        <v>126</v>
      </c>
      <c r="I515" s="12" t="s">
        <v>64</v>
      </c>
      <c r="K515" s="16">
        <v>9.6999999999999993</v>
      </c>
      <c r="L515" s="16">
        <v>15.42</v>
      </c>
      <c r="M515" s="16">
        <v>16.920000000000002</v>
      </c>
    </row>
    <row r="516" spans="2:13" outlineLevel="2" x14ac:dyDescent="0.2"/>
    <row r="517" spans="2:13" ht="33.75" outlineLevel="3" x14ac:dyDescent="0.2">
      <c r="B517" s="4" t="str">
        <f>"0000790030"</f>
        <v>0000790030</v>
      </c>
      <c r="C517" s="5" t="str">
        <f>"398756"</f>
        <v>398756</v>
      </c>
      <c r="D517" s="12" t="s">
        <v>125</v>
      </c>
      <c r="E517" s="14" t="s">
        <v>136</v>
      </c>
      <c r="F517" s="12" t="s">
        <v>3</v>
      </c>
      <c r="G517" s="15">
        <v>30</v>
      </c>
      <c r="H517" s="12" t="s">
        <v>126</v>
      </c>
      <c r="I517" s="12" t="s">
        <v>79</v>
      </c>
      <c r="J517" s="2" t="s">
        <v>1400</v>
      </c>
      <c r="K517" s="16">
        <v>1.43</v>
      </c>
      <c r="L517" s="16">
        <v>2.2799999999999998</v>
      </c>
      <c r="M517" s="16">
        <v>3.78</v>
      </c>
    </row>
    <row r="518" spans="2:13" ht="33.75" outlineLevel="3" x14ac:dyDescent="0.2">
      <c r="B518" s="4" t="str">
        <f>"0000790030"</f>
        <v>0000790030</v>
      </c>
      <c r="C518" s="5" t="str">
        <f>"016941"</f>
        <v>016941</v>
      </c>
      <c r="D518" s="12" t="s">
        <v>137</v>
      </c>
      <c r="E518" s="14" t="s">
        <v>136</v>
      </c>
      <c r="F518" s="12" t="s">
        <v>3</v>
      </c>
      <c r="G518" s="15">
        <v>30</v>
      </c>
      <c r="H518" s="12" t="s">
        <v>126</v>
      </c>
      <c r="I518" s="12" t="s">
        <v>138</v>
      </c>
      <c r="K518" s="16">
        <v>1.43</v>
      </c>
      <c r="L518" s="16">
        <v>2.2799999999999998</v>
      </c>
      <c r="M518" s="16">
        <v>3.78</v>
      </c>
    </row>
    <row r="519" spans="2:13" ht="33.75" outlineLevel="3" x14ac:dyDescent="0.2">
      <c r="B519" s="4" t="str">
        <f>"0000790030"</f>
        <v>0000790030</v>
      </c>
      <c r="C519" s="5" t="str">
        <f>"064722"</f>
        <v>064722</v>
      </c>
      <c r="D519" s="12" t="s">
        <v>128</v>
      </c>
      <c r="E519" s="14" t="s">
        <v>136</v>
      </c>
      <c r="F519" s="12" t="s">
        <v>3</v>
      </c>
      <c r="G519" s="15">
        <v>30</v>
      </c>
      <c r="H519" s="12" t="s">
        <v>126</v>
      </c>
      <c r="I519" s="12" t="s">
        <v>30</v>
      </c>
      <c r="K519" s="16">
        <v>1.43</v>
      </c>
      <c r="L519" s="16">
        <v>2.2799999999999998</v>
      </c>
      <c r="M519" s="16">
        <v>3.78</v>
      </c>
    </row>
    <row r="520" spans="2:13" outlineLevel="3" x14ac:dyDescent="0.2">
      <c r="B520" s="4" t="str">
        <f>"0000790030"</f>
        <v>0000790030</v>
      </c>
      <c r="C520" s="5" t="str">
        <f>"079734"</f>
        <v>079734</v>
      </c>
      <c r="D520" s="12" t="s">
        <v>134</v>
      </c>
      <c r="E520" s="14" t="s">
        <v>136</v>
      </c>
      <c r="F520" s="12" t="s">
        <v>73</v>
      </c>
      <c r="G520" s="15">
        <v>30</v>
      </c>
      <c r="H520" s="12" t="s">
        <v>126</v>
      </c>
      <c r="I520" s="12" t="s">
        <v>5</v>
      </c>
      <c r="K520" s="16">
        <v>1.43</v>
      </c>
      <c r="L520" s="16">
        <v>2.2799999999999998</v>
      </c>
      <c r="M520" s="16">
        <v>3.78</v>
      </c>
    </row>
    <row r="521" spans="2:13" ht="22.5" outlineLevel="3" x14ac:dyDescent="0.2">
      <c r="B521" s="4" t="str">
        <f>"0000790030"</f>
        <v>0000790030</v>
      </c>
      <c r="C521" s="5" t="str">
        <f>"107239"</f>
        <v>107239</v>
      </c>
      <c r="D521" s="12" t="s">
        <v>139</v>
      </c>
      <c r="E521" s="14" t="s">
        <v>136</v>
      </c>
      <c r="F521" s="12" t="s">
        <v>73</v>
      </c>
      <c r="G521" s="15">
        <v>30</v>
      </c>
      <c r="H521" s="12" t="s">
        <v>126</v>
      </c>
      <c r="I521" s="12" t="s">
        <v>104</v>
      </c>
      <c r="K521" s="16">
        <v>1.43</v>
      </c>
      <c r="L521" s="16">
        <v>2.2799999999999998</v>
      </c>
      <c r="M521" s="16">
        <v>3.78</v>
      </c>
    </row>
    <row r="522" spans="2:13" outlineLevel="2" x14ac:dyDescent="0.2"/>
    <row r="523" spans="2:13" ht="33.75" outlineLevel="3" x14ac:dyDescent="0.2">
      <c r="B523" s="4" t="str">
        <f t="shared" ref="B523:B528" si="14">"0000790100"</f>
        <v>0000790100</v>
      </c>
      <c r="C523" s="5" t="str">
        <f>"183803"</f>
        <v>183803</v>
      </c>
      <c r="D523" s="12" t="s">
        <v>125</v>
      </c>
      <c r="E523" s="14" t="s">
        <v>136</v>
      </c>
      <c r="F523" s="12" t="s">
        <v>3</v>
      </c>
      <c r="G523" s="15">
        <v>100</v>
      </c>
      <c r="H523" s="12" t="s">
        <v>126</v>
      </c>
      <c r="I523" s="12" t="s">
        <v>79</v>
      </c>
      <c r="J523" s="2" t="s">
        <v>1400</v>
      </c>
      <c r="K523" s="16">
        <v>4.33</v>
      </c>
      <c r="L523" s="16">
        <v>6.91</v>
      </c>
      <c r="M523" s="16">
        <v>8.41</v>
      </c>
    </row>
    <row r="524" spans="2:13" ht="33.75" outlineLevel="3" x14ac:dyDescent="0.2">
      <c r="B524" s="4" t="str">
        <f t="shared" si="14"/>
        <v>0000790100</v>
      </c>
      <c r="C524" s="5" t="str">
        <f>"016919"</f>
        <v>016919</v>
      </c>
      <c r="D524" s="12" t="s">
        <v>137</v>
      </c>
      <c r="E524" s="14" t="s">
        <v>136</v>
      </c>
      <c r="F524" s="12" t="s">
        <v>3</v>
      </c>
      <c r="G524" s="15">
        <v>100</v>
      </c>
      <c r="H524" s="12" t="s">
        <v>126</v>
      </c>
      <c r="I524" s="12" t="s">
        <v>138</v>
      </c>
      <c r="K524" s="16">
        <v>4.33</v>
      </c>
      <c r="L524" s="16">
        <v>6.91</v>
      </c>
      <c r="M524" s="16">
        <v>8.41</v>
      </c>
    </row>
    <row r="525" spans="2:13" outlineLevel="3" x14ac:dyDescent="0.2">
      <c r="B525" s="4" t="str">
        <f t="shared" si="14"/>
        <v>0000790100</v>
      </c>
      <c r="C525" s="5" t="str">
        <f>"079745"</f>
        <v>079745</v>
      </c>
      <c r="D525" s="12" t="s">
        <v>134</v>
      </c>
      <c r="E525" s="14" t="s">
        <v>136</v>
      </c>
      <c r="F525" s="12" t="s">
        <v>73</v>
      </c>
      <c r="G525" s="15">
        <v>100</v>
      </c>
      <c r="H525" s="12" t="s">
        <v>126</v>
      </c>
      <c r="I525" s="12" t="s">
        <v>5</v>
      </c>
      <c r="K525" s="16">
        <v>4.33</v>
      </c>
      <c r="L525" s="16">
        <v>6.91</v>
      </c>
      <c r="M525" s="16">
        <v>8.41</v>
      </c>
    </row>
    <row r="526" spans="2:13" ht="22.5" outlineLevel="3" x14ac:dyDescent="0.2">
      <c r="B526" s="4" t="str">
        <f t="shared" si="14"/>
        <v>0000790100</v>
      </c>
      <c r="C526" s="5" t="str">
        <f>"090545"</f>
        <v>090545</v>
      </c>
      <c r="D526" s="12" t="s">
        <v>140</v>
      </c>
      <c r="E526" s="14" t="s">
        <v>136</v>
      </c>
      <c r="F526" s="12" t="s">
        <v>73</v>
      </c>
      <c r="G526" s="15">
        <v>100</v>
      </c>
      <c r="H526" s="12" t="s">
        <v>126</v>
      </c>
      <c r="I526" s="12" t="s">
        <v>68</v>
      </c>
      <c r="K526" s="16">
        <v>4.33</v>
      </c>
      <c r="L526" s="16">
        <v>6.91</v>
      </c>
      <c r="M526" s="16">
        <v>8.41</v>
      </c>
    </row>
    <row r="527" spans="2:13" ht="33.75" outlineLevel="3" x14ac:dyDescent="0.2">
      <c r="B527" s="4" t="str">
        <f t="shared" si="14"/>
        <v>0000790100</v>
      </c>
      <c r="C527" s="5" t="str">
        <f>"106452"</f>
        <v>106452</v>
      </c>
      <c r="D527" s="12" t="s">
        <v>128</v>
      </c>
      <c r="E527" s="14" t="s">
        <v>136</v>
      </c>
      <c r="F527" s="12" t="s">
        <v>3</v>
      </c>
      <c r="G527" s="15">
        <v>100</v>
      </c>
      <c r="H527" s="12" t="s">
        <v>126</v>
      </c>
      <c r="I527" s="12" t="s">
        <v>30</v>
      </c>
      <c r="K527" s="16">
        <v>4.33</v>
      </c>
      <c r="L527" s="16">
        <v>6.91</v>
      </c>
      <c r="M527" s="16">
        <v>8.41</v>
      </c>
    </row>
    <row r="528" spans="2:13" ht="22.5" outlineLevel="3" x14ac:dyDescent="0.2">
      <c r="B528" s="4" t="str">
        <f t="shared" si="14"/>
        <v>0000790100</v>
      </c>
      <c r="C528" s="5" t="str">
        <f>"584609"</f>
        <v>584609</v>
      </c>
      <c r="D528" s="12" t="s">
        <v>139</v>
      </c>
      <c r="E528" s="14" t="s">
        <v>136</v>
      </c>
      <c r="F528" s="12" t="s">
        <v>73</v>
      </c>
      <c r="G528" s="15">
        <v>100</v>
      </c>
      <c r="H528" s="12" t="s">
        <v>126</v>
      </c>
      <c r="I528" s="12" t="s">
        <v>104</v>
      </c>
      <c r="K528" s="16">
        <v>4.33</v>
      </c>
      <c r="L528" s="16">
        <v>6.91</v>
      </c>
      <c r="M528" s="16">
        <v>8.41</v>
      </c>
    </row>
    <row r="529" spans="2:13" outlineLevel="2" x14ac:dyDescent="0.2"/>
    <row r="530" spans="2:13" ht="33.75" outlineLevel="3" x14ac:dyDescent="0.2">
      <c r="B530" s="4" t="str">
        <f>"0000790250"</f>
        <v>0000790250</v>
      </c>
      <c r="C530" s="5" t="str">
        <f>"541965"</f>
        <v>541965</v>
      </c>
      <c r="D530" s="12" t="s">
        <v>135</v>
      </c>
      <c r="E530" s="14" t="s">
        <v>136</v>
      </c>
      <c r="F530" s="12" t="s">
        <v>3</v>
      </c>
      <c r="G530" s="15">
        <v>250</v>
      </c>
      <c r="H530" s="12" t="s">
        <v>126</v>
      </c>
      <c r="I530" s="12" t="s">
        <v>70</v>
      </c>
      <c r="K530" s="16">
        <v>10.61</v>
      </c>
      <c r="L530" s="16">
        <v>16.760000000000002</v>
      </c>
      <c r="M530" s="16">
        <v>18.260000000000002</v>
      </c>
    </row>
    <row r="531" spans="2:13" outlineLevel="2" x14ac:dyDescent="0.2"/>
    <row r="532" spans="2:13" ht="33.75" outlineLevel="3" x14ac:dyDescent="0.2">
      <c r="B532" s="4" t="str">
        <f t="shared" ref="B532:B540" si="15">"0000810030"</f>
        <v>0000810030</v>
      </c>
      <c r="C532" s="5" t="str">
        <f>"484777"</f>
        <v>484777</v>
      </c>
      <c r="D532" s="12" t="s">
        <v>125</v>
      </c>
      <c r="E532" s="14" t="s">
        <v>111</v>
      </c>
      <c r="F532" s="12" t="s">
        <v>3</v>
      </c>
      <c r="G532" s="15">
        <v>30</v>
      </c>
      <c r="H532" s="12" t="s">
        <v>126</v>
      </c>
      <c r="I532" s="12" t="s">
        <v>79</v>
      </c>
      <c r="J532" s="2" t="s">
        <v>1400</v>
      </c>
      <c r="K532" s="16">
        <v>4.62</v>
      </c>
      <c r="L532" s="16">
        <v>7.37</v>
      </c>
      <c r="M532" s="16">
        <v>7.75</v>
      </c>
    </row>
    <row r="533" spans="2:13" ht="33.75" outlineLevel="3" x14ac:dyDescent="0.2">
      <c r="B533" s="4" t="str">
        <f t="shared" si="15"/>
        <v>0000810030</v>
      </c>
      <c r="C533" s="5" t="str">
        <f>"095250"</f>
        <v>095250</v>
      </c>
      <c r="D533" s="12" t="s">
        <v>135</v>
      </c>
      <c r="E533" s="14" t="s">
        <v>111</v>
      </c>
      <c r="F533" s="12" t="s">
        <v>3</v>
      </c>
      <c r="G533" s="15">
        <v>30</v>
      </c>
      <c r="H533" s="12" t="s">
        <v>126</v>
      </c>
      <c r="I533" s="12" t="s">
        <v>70</v>
      </c>
      <c r="J533" s="2" t="s">
        <v>1400</v>
      </c>
      <c r="K533" s="16">
        <v>4.62</v>
      </c>
      <c r="L533" s="16">
        <v>7.37</v>
      </c>
      <c r="M533" s="16">
        <v>7.75</v>
      </c>
    </row>
    <row r="534" spans="2:13" ht="33.75" outlineLevel="3" x14ac:dyDescent="0.2">
      <c r="B534" s="4" t="str">
        <f t="shared" si="15"/>
        <v>0000810030</v>
      </c>
      <c r="C534" s="5" t="str">
        <f>"002104"</f>
        <v>002104</v>
      </c>
      <c r="D534" s="12" t="s">
        <v>127</v>
      </c>
      <c r="E534" s="14" t="s">
        <v>111</v>
      </c>
      <c r="F534" s="12" t="s">
        <v>3</v>
      </c>
      <c r="G534" s="15">
        <v>30</v>
      </c>
      <c r="H534" s="12" t="s">
        <v>126</v>
      </c>
      <c r="I534" s="12" t="s">
        <v>58</v>
      </c>
      <c r="K534" s="16">
        <v>4.62</v>
      </c>
      <c r="L534" s="16">
        <v>7.37</v>
      </c>
      <c r="M534" s="16">
        <v>7.75</v>
      </c>
    </row>
    <row r="535" spans="2:13" ht="22.5" outlineLevel="3" x14ac:dyDescent="0.2">
      <c r="B535" s="4" t="str">
        <f t="shared" si="15"/>
        <v>0000810030</v>
      </c>
      <c r="C535" s="5" t="str">
        <f>"005424"</f>
        <v>005424</v>
      </c>
      <c r="D535" s="12" t="s">
        <v>132</v>
      </c>
      <c r="E535" s="14" t="s">
        <v>111</v>
      </c>
      <c r="F535" s="12" t="s">
        <v>73</v>
      </c>
      <c r="G535" s="15">
        <v>30</v>
      </c>
      <c r="H535" s="12" t="s">
        <v>126</v>
      </c>
      <c r="I535" s="12" t="s">
        <v>133</v>
      </c>
      <c r="K535" s="16">
        <v>4.62</v>
      </c>
      <c r="L535" s="16">
        <v>7.37</v>
      </c>
      <c r="M535" s="16">
        <v>7.75</v>
      </c>
    </row>
    <row r="536" spans="2:13" ht="33.75" outlineLevel="3" x14ac:dyDescent="0.2">
      <c r="B536" s="4" t="str">
        <f t="shared" si="15"/>
        <v>0000810030</v>
      </c>
      <c r="C536" s="5" t="str">
        <f>"016928"</f>
        <v>016928</v>
      </c>
      <c r="D536" s="12" t="s">
        <v>137</v>
      </c>
      <c r="E536" s="14" t="s">
        <v>111</v>
      </c>
      <c r="F536" s="12" t="s">
        <v>3</v>
      </c>
      <c r="G536" s="15">
        <v>30</v>
      </c>
      <c r="H536" s="12" t="s">
        <v>126</v>
      </c>
      <c r="I536" s="12" t="s">
        <v>138</v>
      </c>
      <c r="K536" s="16">
        <v>4.62</v>
      </c>
      <c r="L536" s="16">
        <v>7.37</v>
      </c>
      <c r="M536" s="16">
        <v>7.75</v>
      </c>
    </row>
    <row r="537" spans="2:13" ht="33.75" outlineLevel="3" x14ac:dyDescent="0.2">
      <c r="B537" s="4" t="str">
        <f t="shared" si="15"/>
        <v>0000810030</v>
      </c>
      <c r="C537" s="5" t="str">
        <f>"474254"</f>
        <v>474254</v>
      </c>
      <c r="D537" s="12" t="s">
        <v>130</v>
      </c>
      <c r="E537" s="14" t="s">
        <v>111</v>
      </c>
      <c r="F537" s="12" t="s">
        <v>3</v>
      </c>
      <c r="G537" s="15">
        <v>30</v>
      </c>
      <c r="H537" s="12" t="s">
        <v>126</v>
      </c>
      <c r="I537" s="12" t="s">
        <v>131</v>
      </c>
      <c r="K537" s="16">
        <v>4.62</v>
      </c>
      <c r="L537" s="16">
        <v>7.37</v>
      </c>
      <c r="M537" s="16">
        <v>7.75</v>
      </c>
    </row>
    <row r="538" spans="2:13" ht="33.75" outlineLevel="3" x14ac:dyDescent="0.2">
      <c r="B538" s="4" t="str">
        <f t="shared" si="15"/>
        <v>0000810030</v>
      </c>
      <c r="C538" s="5" t="str">
        <f>"578692"</f>
        <v>578692</v>
      </c>
      <c r="D538" s="12" t="s">
        <v>128</v>
      </c>
      <c r="E538" s="14" t="s">
        <v>111</v>
      </c>
      <c r="F538" s="12" t="s">
        <v>3</v>
      </c>
      <c r="G538" s="15">
        <v>30</v>
      </c>
      <c r="H538" s="12" t="s">
        <v>126</v>
      </c>
      <c r="I538" s="12" t="s">
        <v>30</v>
      </c>
      <c r="K538" s="16">
        <v>4.62</v>
      </c>
      <c r="L538" s="16">
        <v>7.37</v>
      </c>
      <c r="M538" s="16">
        <v>7.75</v>
      </c>
    </row>
    <row r="539" spans="2:13" outlineLevel="3" x14ac:dyDescent="0.2">
      <c r="B539" s="4" t="str">
        <f t="shared" si="15"/>
        <v>0000810030</v>
      </c>
      <c r="C539" s="5" t="str">
        <f>"005233"</f>
        <v>005233</v>
      </c>
      <c r="D539" s="12" t="s">
        <v>134</v>
      </c>
      <c r="E539" s="14" t="s">
        <v>111</v>
      </c>
      <c r="F539" s="12" t="s">
        <v>73</v>
      </c>
      <c r="G539" s="15">
        <v>28</v>
      </c>
      <c r="H539" s="12" t="s">
        <v>126</v>
      </c>
      <c r="I539" s="12" t="s">
        <v>5</v>
      </c>
      <c r="K539" s="16">
        <v>4.3099999999999996</v>
      </c>
      <c r="L539" s="16">
        <v>6.88</v>
      </c>
      <c r="M539" s="16">
        <v>7.75</v>
      </c>
    </row>
    <row r="540" spans="2:13" outlineLevel="3" x14ac:dyDescent="0.2">
      <c r="B540" s="4" t="str">
        <f t="shared" si="15"/>
        <v>0000810030</v>
      </c>
      <c r="C540" s="5" t="str">
        <f>"454426"</f>
        <v>454426</v>
      </c>
      <c r="D540" s="12" t="s">
        <v>129</v>
      </c>
      <c r="E540" s="14" t="s">
        <v>111</v>
      </c>
      <c r="F540" s="12" t="s">
        <v>73</v>
      </c>
      <c r="G540" s="15">
        <v>30</v>
      </c>
      <c r="H540" s="12" t="s">
        <v>126</v>
      </c>
      <c r="I540" s="12" t="s">
        <v>64</v>
      </c>
      <c r="K540" s="16">
        <v>3.92</v>
      </c>
      <c r="L540" s="16">
        <v>6.25</v>
      </c>
      <c r="M540" s="16">
        <v>7.75</v>
      </c>
    </row>
    <row r="541" spans="2:13" outlineLevel="2" x14ac:dyDescent="0.2"/>
    <row r="542" spans="2:13" ht="33.75" outlineLevel="3" x14ac:dyDescent="0.2">
      <c r="B542" s="4" t="str">
        <f t="shared" ref="B542:B550" si="16">"0000810100"</f>
        <v>0000810100</v>
      </c>
      <c r="C542" s="5" t="str">
        <f>"584173"</f>
        <v>584173</v>
      </c>
      <c r="D542" s="12" t="s">
        <v>125</v>
      </c>
      <c r="E542" s="14" t="s">
        <v>111</v>
      </c>
      <c r="F542" s="12" t="s">
        <v>3</v>
      </c>
      <c r="G542" s="15">
        <v>100</v>
      </c>
      <c r="H542" s="12" t="s">
        <v>126</v>
      </c>
      <c r="I542" s="12" t="s">
        <v>79</v>
      </c>
      <c r="J542" s="2" t="s">
        <v>1400</v>
      </c>
      <c r="K542" s="16">
        <v>10.1</v>
      </c>
      <c r="L542" s="16">
        <v>16.02</v>
      </c>
      <c r="M542" s="16">
        <v>11.24</v>
      </c>
    </row>
    <row r="543" spans="2:13" ht="33.75" outlineLevel="3" x14ac:dyDescent="0.2">
      <c r="B543" s="4" t="str">
        <f t="shared" si="16"/>
        <v>0000810100</v>
      </c>
      <c r="C543" s="5" t="str">
        <f>"016939"</f>
        <v>016939</v>
      </c>
      <c r="D543" s="12" t="s">
        <v>137</v>
      </c>
      <c r="E543" s="14" t="s">
        <v>111</v>
      </c>
      <c r="F543" s="12" t="s">
        <v>3</v>
      </c>
      <c r="G543" s="15">
        <v>100</v>
      </c>
      <c r="H543" s="12" t="s">
        <v>126</v>
      </c>
      <c r="I543" s="12" t="s">
        <v>138</v>
      </c>
      <c r="K543" s="16">
        <v>10.1</v>
      </c>
      <c r="L543" s="16">
        <v>16.02</v>
      </c>
      <c r="M543" s="16">
        <v>11.24</v>
      </c>
    </row>
    <row r="544" spans="2:13" ht="33.75" outlineLevel="3" x14ac:dyDescent="0.2">
      <c r="B544" s="4" t="str">
        <f t="shared" si="16"/>
        <v>0000810100</v>
      </c>
      <c r="C544" s="5" t="str">
        <f>"474403"</f>
        <v>474403</v>
      </c>
      <c r="D544" s="12" t="s">
        <v>130</v>
      </c>
      <c r="E544" s="14" t="s">
        <v>111</v>
      </c>
      <c r="F544" s="12" t="s">
        <v>3</v>
      </c>
      <c r="G544" s="15">
        <v>100</v>
      </c>
      <c r="H544" s="12" t="s">
        <v>126</v>
      </c>
      <c r="I544" s="12" t="s">
        <v>131</v>
      </c>
      <c r="K544" s="16">
        <v>10.1</v>
      </c>
      <c r="L544" s="16">
        <v>16.02</v>
      </c>
      <c r="M544" s="16">
        <v>11.24</v>
      </c>
    </row>
    <row r="545" spans="1:13" ht="33.75" outlineLevel="3" x14ac:dyDescent="0.2">
      <c r="B545" s="4" t="str">
        <f t="shared" si="16"/>
        <v>0000810100</v>
      </c>
      <c r="C545" s="5" t="str">
        <f>"002087"</f>
        <v>002087</v>
      </c>
      <c r="D545" s="12" t="s">
        <v>127</v>
      </c>
      <c r="E545" s="14" t="s">
        <v>111</v>
      </c>
      <c r="F545" s="12" t="s">
        <v>3</v>
      </c>
      <c r="G545" s="15">
        <v>100</v>
      </c>
      <c r="H545" s="12" t="s">
        <v>126</v>
      </c>
      <c r="I545" s="12" t="s">
        <v>58</v>
      </c>
      <c r="K545" s="16">
        <v>7.14</v>
      </c>
      <c r="L545" s="16">
        <v>11.39</v>
      </c>
      <c r="M545" s="16">
        <v>11.24</v>
      </c>
    </row>
    <row r="546" spans="1:13" ht="22.5" outlineLevel="3" x14ac:dyDescent="0.2">
      <c r="B546" s="4" t="str">
        <f t="shared" si="16"/>
        <v>0000810100</v>
      </c>
      <c r="C546" s="5" t="str">
        <f>"005502"</f>
        <v>005502</v>
      </c>
      <c r="D546" s="12" t="s">
        <v>132</v>
      </c>
      <c r="E546" s="14" t="s">
        <v>111</v>
      </c>
      <c r="F546" s="12" t="s">
        <v>73</v>
      </c>
      <c r="G546" s="15">
        <v>100</v>
      </c>
      <c r="H546" s="12" t="s">
        <v>126</v>
      </c>
      <c r="I546" s="12" t="s">
        <v>133</v>
      </c>
      <c r="K546" s="16">
        <v>7.14</v>
      </c>
      <c r="L546" s="16">
        <v>11.39</v>
      </c>
      <c r="M546" s="16">
        <v>11.24</v>
      </c>
    </row>
    <row r="547" spans="1:13" outlineLevel="3" x14ac:dyDescent="0.2">
      <c r="B547" s="4" t="str">
        <f t="shared" si="16"/>
        <v>0000810100</v>
      </c>
      <c r="C547" s="5" t="str">
        <f>"040148"</f>
        <v>040148</v>
      </c>
      <c r="D547" s="12" t="s">
        <v>134</v>
      </c>
      <c r="E547" s="14" t="s">
        <v>111</v>
      </c>
      <c r="F547" s="12" t="s">
        <v>73</v>
      </c>
      <c r="G547" s="15">
        <v>98</v>
      </c>
      <c r="H547" s="12" t="s">
        <v>126</v>
      </c>
      <c r="I547" s="12" t="s">
        <v>5</v>
      </c>
      <c r="K547" s="16">
        <v>7.14</v>
      </c>
      <c r="L547" s="16">
        <v>11.39</v>
      </c>
      <c r="M547" s="16">
        <v>11.24</v>
      </c>
    </row>
    <row r="548" spans="1:13" ht="33.75" outlineLevel="3" x14ac:dyDescent="0.2">
      <c r="B548" s="4" t="str">
        <f t="shared" si="16"/>
        <v>0000810100</v>
      </c>
      <c r="C548" s="5" t="str">
        <f>"390947"</f>
        <v>390947</v>
      </c>
      <c r="D548" s="12" t="s">
        <v>128</v>
      </c>
      <c r="E548" s="14" t="s">
        <v>111</v>
      </c>
      <c r="F548" s="12" t="s">
        <v>3</v>
      </c>
      <c r="G548" s="15">
        <v>100</v>
      </c>
      <c r="H548" s="12" t="s">
        <v>126</v>
      </c>
      <c r="I548" s="12" t="s">
        <v>30</v>
      </c>
      <c r="K548" s="16">
        <v>7.14</v>
      </c>
      <c r="L548" s="16">
        <v>11.39</v>
      </c>
      <c r="M548" s="16">
        <v>11.24</v>
      </c>
    </row>
    <row r="549" spans="1:13" ht="33.75" outlineLevel="3" x14ac:dyDescent="0.2">
      <c r="B549" s="4" t="str">
        <f t="shared" si="16"/>
        <v>0000810100</v>
      </c>
      <c r="C549" s="5" t="str">
        <f>"471316"</f>
        <v>471316</v>
      </c>
      <c r="D549" s="12" t="s">
        <v>135</v>
      </c>
      <c r="E549" s="14" t="s">
        <v>111</v>
      </c>
      <c r="F549" s="12" t="s">
        <v>3</v>
      </c>
      <c r="G549" s="15">
        <v>100</v>
      </c>
      <c r="H549" s="12" t="s">
        <v>126</v>
      </c>
      <c r="I549" s="12" t="s">
        <v>70</v>
      </c>
      <c r="K549" s="16">
        <v>7.14</v>
      </c>
      <c r="L549" s="16">
        <v>11.39</v>
      </c>
      <c r="M549" s="16">
        <v>11.24</v>
      </c>
    </row>
    <row r="550" spans="1:13" outlineLevel="3" x14ac:dyDescent="0.2">
      <c r="B550" s="4" t="str">
        <f t="shared" si="16"/>
        <v>0000810100</v>
      </c>
      <c r="C550" s="5" t="str">
        <f>"517846"</f>
        <v>517846</v>
      </c>
      <c r="D550" s="12" t="s">
        <v>129</v>
      </c>
      <c r="E550" s="14" t="s">
        <v>111</v>
      </c>
      <c r="F550" s="12" t="s">
        <v>73</v>
      </c>
      <c r="G550" s="15">
        <v>100</v>
      </c>
      <c r="H550" s="12" t="s">
        <v>126</v>
      </c>
      <c r="I550" s="12" t="s">
        <v>64</v>
      </c>
      <c r="K550" s="16">
        <v>6.1</v>
      </c>
      <c r="L550" s="16">
        <v>9.74</v>
      </c>
      <c r="M550" s="16">
        <v>11.24</v>
      </c>
    </row>
    <row r="551" spans="1:13" outlineLevel="2" x14ac:dyDescent="0.2"/>
    <row r="552" spans="1:13" ht="33.75" outlineLevel="3" x14ac:dyDescent="0.2">
      <c r="B552" s="4" t="str">
        <f>"0000810250"</f>
        <v>0000810250</v>
      </c>
      <c r="C552" s="5" t="str">
        <f>"069102"</f>
        <v>069102</v>
      </c>
      <c r="D552" s="12" t="s">
        <v>135</v>
      </c>
      <c r="E552" s="14" t="s">
        <v>111</v>
      </c>
      <c r="F552" s="12" t="s">
        <v>3</v>
      </c>
      <c r="G552" s="15">
        <v>250</v>
      </c>
      <c r="H552" s="12" t="s">
        <v>126</v>
      </c>
      <c r="I552" s="12" t="s">
        <v>70</v>
      </c>
      <c r="K552" s="16">
        <v>18.600000000000001</v>
      </c>
      <c r="L552" s="16">
        <v>28.63</v>
      </c>
      <c r="M552" s="16">
        <v>30.13</v>
      </c>
    </row>
    <row r="553" spans="1:13" outlineLevel="1" x14ac:dyDescent="0.2">
      <c r="A553" s="3"/>
    </row>
    <row r="554" spans="1:13" outlineLevel="2" x14ac:dyDescent="0.2">
      <c r="A554" s="3" t="s">
        <v>1432</v>
      </c>
    </row>
    <row r="555" spans="1:13" ht="33.75" outlineLevel="3" x14ac:dyDescent="0.2">
      <c r="B555" s="4" t="str">
        <f>"0000830100"</f>
        <v>0000830100</v>
      </c>
      <c r="C555" s="5" t="str">
        <f>"102358"</f>
        <v>102358</v>
      </c>
      <c r="D555" s="12" t="s">
        <v>144</v>
      </c>
      <c r="E555" s="14" t="s">
        <v>142</v>
      </c>
      <c r="F555" s="12" t="s">
        <v>3</v>
      </c>
      <c r="G555" s="15">
        <v>100</v>
      </c>
      <c r="H555" s="12" t="s">
        <v>143</v>
      </c>
      <c r="I555" s="12" t="s">
        <v>64</v>
      </c>
      <c r="K555" s="16">
        <v>11</v>
      </c>
      <c r="L555" s="16">
        <v>17.350000000000001</v>
      </c>
      <c r="M555" s="16">
        <v>18.850000000000001</v>
      </c>
    </row>
    <row r="556" spans="1:13" ht="33.75" outlineLevel="3" x14ac:dyDescent="0.2">
      <c r="B556" s="4" t="str">
        <f>"0000830100"</f>
        <v>0000830100</v>
      </c>
      <c r="C556" s="5" t="str">
        <f>"540385"</f>
        <v>540385</v>
      </c>
      <c r="D556" s="12" t="s">
        <v>141</v>
      </c>
      <c r="E556" s="14" t="s">
        <v>142</v>
      </c>
      <c r="F556" s="12" t="s">
        <v>3</v>
      </c>
      <c r="G556" s="15">
        <v>100</v>
      </c>
      <c r="H556" s="12" t="s">
        <v>143</v>
      </c>
      <c r="I556" s="12" t="s">
        <v>39</v>
      </c>
      <c r="J556" s="2" t="s">
        <v>1400</v>
      </c>
      <c r="K556" s="16">
        <v>8.44</v>
      </c>
      <c r="L556" s="16">
        <v>13.46</v>
      </c>
      <c r="M556" s="16">
        <v>18.850000000000001</v>
      </c>
    </row>
    <row r="557" spans="1:13" outlineLevel="2" x14ac:dyDescent="0.2"/>
    <row r="558" spans="1:13" ht="33.75" outlineLevel="3" x14ac:dyDescent="0.2">
      <c r="B558" s="4" t="str">
        <f>"0011780100"</f>
        <v>0011780100</v>
      </c>
      <c r="C558" s="5" t="str">
        <f>"102370"</f>
        <v>102370</v>
      </c>
      <c r="D558" s="12" t="s">
        <v>144</v>
      </c>
      <c r="E558" s="14" t="s">
        <v>337</v>
      </c>
      <c r="F558" s="12" t="s">
        <v>3</v>
      </c>
      <c r="G558" s="15">
        <v>100</v>
      </c>
      <c r="H558" s="12" t="s">
        <v>143</v>
      </c>
      <c r="I558" s="12" t="s">
        <v>64</v>
      </c>
      <c r="K558" s="16">
        <v>24.23</v>
      </c>
      <c r="L558" s="16">
        <v>36.99</v>
      </c>
      <c r="M558" s="16">
        <v>38.49</v>
      </c>
    </row>
    <row r="559" spans="1:13" outlineLevel="1" x14ac:dyDescent="0.2">
      <c r="A559" s="3"/>
    </row>
    <row r="560" spans="1:13" outlineLevel="2" x14ac:dyDescent="0.2">
      <c r="A560" s="3" t="s">
        <v>1433</v>
      </c>
    </row>
    <row r="561" spans="1:13" ht="33.75" outlineLevel="3" x14ac:dyDescent="0.2">
      <c r="B561" s="4" t="str">
        <f>"0005110030"</f>
        <v>0005110030</v>
      </c>
      <c r="C561" s="5" t="str">
        <f>"020058"</f>
        <v>020058</v>
      </c>
      <c r="D561" s="12" t="s">
        <v>634</v>
      </c>
      <c r="E561" s="14" t="s">
        <v>111</v>
      </c>
      <c r="F561" s="12" t="s">
        <v>73</v>
      </c>
      <c r="G561" s="15">
        <v>30</v>
      </c>
      <c r="H561" s="12" t="s">
        <v>635</v>
      </c>
      <c r="I561" s="12" t="s">
        <v>636</v>
      </c>
      <c r="K561" s="16">
        <v>4.45</v>
      </c>
      <c r="L561" s="16">
        <v>7.1</v>
      </c>
      <c r="M561" s="16">
        <v>8.6</v>
      </c>
    </row>
    <row r="562" spans="1:13" ht="22.5" outlineLevel="3" x14ac:dyDescent="0.2">
      <c r="B562" s="4" t="str">
        <f>"0005110030"</f>
        <v>0005110030</v>
      </c>
      <c r="C562" s="5" t="str">
        <f>"551921"</f>
        <v>551921</v>
      </c>
      <c r="D562" s="12" t="s">
        <v>637</v>
      </c>
      <c r="E562" s="14" t="s">
        <v>111</v>
      </c>
      <c r="F562" s="12" t="s">
        <v>73</v>
      </c>
      <c r="G562" s="15">
        <v>30</v>
      </c>
      <c r="H562" s="12" t="s">
        <v>635</v>
      </c>
      <c r="I562" s="12" t="s">
        <v>104</v>
      </c>
      <c r="K562" s="16">
        <v>4.45</v>
      </c>
      <c r="L562" s="16">
        <v>7.1</v>
      </c>
      <c r="M562" s="16">
        <v>8.6</v>
      </c>
    </row>
    <row r="563" spans="1:13" outlineLevel="2" x14ac:dyDescent="0.2"/>
    <row r="564" spans="1:13" ht="33.75" outlineLevel="3" x14ac:dyDescent="0.2">
      <c r="B564" s="4" t="str">
        <f>"0005110100"</f>
        <v>0005110100</v>
      </c>
      <c r="C564" s="5" t="str">
        <f>"023454"</f>
        <v>023454</v>
      </c>
      <c r="D564" s="12" t="s">
        <v>634</v>
      </c>
      <c r="E564" s="14" t="s">
        <v>111</v>
      </c>
      <c r="F564" s="12" t="s">
        <v>73</v>
      </c>
      <c r="G564" s="15">
        <v>100</v>
      </c>
      <c r="H564" s="12" t="s">
        <v>635</v>
      </c>
      <c r="I564" s="12" t="s">
        <v>636</v>
      </c>
      <c r="K564" s="16">
        <v>14.25</v>
      </c>
      <c r="L564" s="16">
        <v>22.18</v>
      </c>
      <c r="M564" s="16">
        <v>23.68</v>
      </c>
    </row>
    <row r="565" spans="1:13" ht="22.5" outlineLevel="3" x14ac:dyDescent="0.2">
      <c r="B565" s="4" t="str">
        <f>"0005110100"</f>
        <v>0005110100</v>
      </c>
      <c r="C565" s="5" t="str">
        <f>"163622"</f>
        <v>163622</v>
      </c>
      <c r="D565" s="12" t="s">
        <v>637</v>
      </c>
      <c r="E565" s="14" t="s">
        <v>111</v>
      </c>
      <c r="F565" s="12" t="s">
        <v>73</v>
      </c>
      <c r="G565" s="15">
        <v>100</v>
      </c>
      <c r="H565" s="12" t="s">
        <v>635</v>
      </c>
      <c r="I565" s="12" t="s">
        <v>104</v>
      </c>
      <c r="K565" s="16">
        <v>14.25</v>
      </c>
      <c r="L565" s="16">
        <v>22.18</v>
      </c>
      <c r="M565" s="16">
        <v>23.68</v>
      </c>
    </row>
    <row r="566" spans="1:13" outlineLevel="2" x14ac:dyDescent="0.2">
      <c r="A566" s="3" t="s">
        <v>1434</v>
      </c>
    </row>
    <row r="567" spans="1:13" ht="33.75" outlineLevel="3" x14ac:dyDescent="0.2">
      <c r="B567" s="4" t="str">
        <f>"0000840030"</f>
        <v>0000840030</v>
      </c>
      <c r="C567" s="5" t="str">
        <f>"466388"</f>
        <v>466388</v>
      </c>
      <c r="D567" s="12" t="s">
        <v>145</v>
      </c>
      <c r="E567" s="14" t="s">
        <v>146</v>
      </c>
      <c r="F567" s="12" t="s">
        <v>3</v>
      </c>
      <c r="G567" s="15">
        <v>30</v>
      </c>
      <c r="H567" s="12" t="s">
        <v>147</v>
      </c>
      <c r="I567" s="12" t="s">
        <v>148</v>
      </c>
      <c r="K567" s="16">
        <v>4.74</v>
      </c>
      <c r="L567" s="16">
        <v>7.56</v>
      </c>
      <c r="M567" s="16">
        <v>9.06</v>
      </c>
    </row>
    <row r="568" spans="1:13" outlineLevel="2" x14ac:dyDescent="0.2"/>
    <row r="569" spans="1:13" outlineLevel="3" x14ac:dyDescent="0.2">
      <c r="B569" s="4" t="str">
        <f>"0000840100"</f>
        <v>0000840100</v>
      </c>
      <c r="C569" s="5" t="str">
        <f>"380758"</f>
        <v>380758</v>
      </c>
      <c r="D569" s="12" t="s">
        <v>151</v>
      </c>
      <c r="E569" s="14" t="s">
        <v>146</v>
      </c>
      <c r="F569" s="12" t="s">
        <v>73</v>
      </c>
      <c r="G569" s="15">
        <v>100</v>
      </c>
      <c r="H569" s="12" t="s">
        <v>147</v>
      </c>
      <c r="I569" s="12" t="s">
        <v>152</v>
      </c>
      <c r="K569" s="16">
        <v>16.3</v>
      </c>
      <c r="L569" s="16">
        <v>25.22</v>
      </c>
      <c r="M569" s="16">
        <v>12.51</v>
      </c>
    </row>
    <row r="570" spans="1:13" outlineLevel="3" x14ac:dyDescent="0.2">
      <c r="B570" s="4" t="str">
        <f>"0000840100"</f>
        <v>0000840100</v>
      </c>
      <c r="C570" s="5" t="str">
        <f>"108764"</f>
        <v>108764</v>
      </c>
      <c r="D570" s="12" t="s">
        <v>150</v>
      </c>
      <c r="E570" s="14" t="s">
        <v>146</v>
      </c>
      <c r="F570" s="12" t="s">
        <v>73</v>
      </c>
      <c r="G570" s="15">
        <v>100</v>
      </c>
      <c r="H570" s="12" t="s">
        <v>147</v>
      </c>
      <c r="I570" s="12" t="s">
        <v>62</v>
      </c>
      <c r="K570" s="16">
        <v>8.0399999999999991</v>
      </c>
      <c r="L570" s="16">
        <v>12.83</v>
      </c>
      <c r="M570" s="16">
        <v>12.51</v>
      </c>
    </row>
    <row r="571" spans="1:13" ht="33.75" outlineLevel="3" x14ac:dyDescent="0.2">
      <c r="B571" s="4" t="str">
        <f>"0000840100"</f>
        <v>0000840100</v>
      </c>
      <c r="C571" s="5" t="str">
        <f>"402570"</f>
        <v>402570</v>
      </c>
      <c r="D571" s="12" t="s">
        <v>145</v>
      </c>
      <c r="E571" s="14" t="s">
        <v>146</v>
      </c>
      <c r="F571" s="12" t="s">
        <v>3</v>
      </c>
      <c r="G571" s="15">
        <v>100</v>
      </c>
      <c r="H571" s="12" t="s">
        <v>147</v>
      </c>
      <c r="I571" s="12" t="s">
        <v>148</v>
      </c>
      <c r="K571" s="16">
        <v>8.0399999999999991</v>
      </c>
      <c r="L571" s="16">
        <v>12.83</v>
      </c>
      <c r="M571" s="16">
        <v>12.51</v>
      </c>
    </row>
    <row r="572" spans="1:13" outlineLevel="3" x14ac:dyDescent="0.2">
      <c r="B572" s="4" t="str">
        <f>"0000840100"</f>
        <v>0000840100</v>
      </c>
      <c r="C572" s="5" t="str">
        <f>"464226"</f>
        <v>464226</v>
      </c>
      <c r="D572" s="12" t="s">
        <v>153</v>
      </c>
      <c r="E572" s="14" t="s">
        <v>146</v>
      </c>
      <c r="F572" s="12" t="s">
        <v>73</v>
      </c>
      <c r="G572" s="15">
        <v>100</v>
      </c>
      <c r="H572" s="12" t="s">
        <v>147</v>
      </c>
      <c r="I572" s="12" t="s">
        <v>5</v>
      </c>
      <c r="K572" s="16">
        <v>8.0399999999999991</v>
      </c>
      <c r="L572" s="16">
        <v>12.83</v>
      </c>
      <c r="M572" s="16">
        <v>12.51</v>
      </c>
    </row>
    <row r="573" spans="1:13" ht="22.5" outlineLevel="3" x14ac:dyDescent="0.2">
      <c r="B573" s="4" t="str">
        <f>"0000840100"</f>
        <v>0000840100</v>
      </c>
      <c r="C573" s="5" t="str">
        <f>"018431"</f>
        <v>018431</v>
      </c>
      <c r="D573" s="12" t="s">
        <v>149</v>
      </c>
      <c r="E573" s="14" t="s">
        <v>146</v>
      </c>
      <c r="F573" s="12" t="s">
        <v>73</v>
      </c>
      <c r="G573" s="15">
        <v>100</v>
      </c>
      <c r="H573" s="12" t="s">
        <v>147</v>
      </c>
      <c r="I573" s="12" t="s">
        <v>60</v>
      </c>
      <c r="K573" s="16">
        <v>6.9</v>
      </c>
      <c r="L573" s="16">
        <v>11.01</v>
      </c>
      <c r="M573" s="16">
        <v>12.51</v>
      </c>
    </row>
    <row r="574" spans="1:13" outlineLevel="2" x14ac:dyDescent="0.2"/>
    <row r="575" spans="1:13" outlineLevel="3" x14ac:dyDescent="0.2">
      <c r="B575" s="4" t="str">
        <f>"0000850030"</f>
        <v>0000850030</v>
      </c>
      <c r="C575" s="5" t="str">
        <f>"428706"</f>
        <v>428706</v>
      </c>
      <c r="D575" s="12" t="s">
        <v>151</v>
      </c>
      <c r="E575" s="14" t="s">
        <v>102</v>
      </c>
      <c r="F575" s="12" t="s">
        <v>73</v>
      </c>
      <c r="G575" s="15">
        <v>30</v>
      </c>
      <c r="H575" s="12" t="s">
        <v>147</v>
      </c>
      <c r="I575" s="12" t="s">
        <v>152</v>
      </c>
      <c r="J575" s="2" t="s">
        <v>1400</v>
      </c>
      <c r="K575" s="16">
        <v>10.130000000000001</v>
      </c>
      <c r="L575" s="16">
        <v>16.059999999999999</v>
      </c>
      <c r="M575" s="16">
        <v>10.11</v>
      </c>
    </row>
    <row r="576" spans="1:13" ht="22.5" outlineLevel="3" x14ac:dyDescent="0.2">
      <c r="B576" s="4" t="str">
        <f>"0000850030"</f>
        <v>0000850030</v>
      </c>
      <c r="C576" s="5" t="str">
        <f>"097624"</f>
        <v>097624</v>
      </c>
      <c r="D576" s="12" t="s">
        <v>149</v>
      </c>
      <c r="E576" s="14" t="s">
        <v>102</v>
      </c>
      <c r="F576" s="12" t="s">
        <v>73</v>
      </c>
      <c r="G576" s="15">
        <v>30</v>
      </c>
      <c r="H576" s="12" t="s">
        <v>147</v>
      </c>
      <c r="I576" s="12" t="s">
        <v>60</v>
      </c>
      <c r="K576" s="16">
        <v>8</v>
      </c>
      <c r="L576" s="16">
        <v>12.76</v>
      </c>
      <c r="M576" s="16">
        <v>10.11</v>
      </c>
    </row>
    <row r="577" spans="1:13" outlineLevel="3" x14ac:dyDescent="0.2">
      <c r="B577" s="4" t="str">
        <f>"0000850030"</f>
        <v>0000850030</v>
      </c>
      <c r="C577" s="5" t="str">
        <f>"031847"</f>
        <v>031847</v>
      </c>
      <c r="D577" s="12" t="s">
        <v>153</v>
      </c>
      <c r="E577" s="14" t="s">
        <v>102</v>
      </c>
      <c r="F577" s="12" t="s">
        <v>73</v>
      </c>
      <c r="G577" s="15">
        <v>30</v>
      </c>
      <c r="H577" s="12" t="s">
        <v>147</v>
      </c>
      <c r="I577" s="12" t="s">
        <v>5</v>
      </c>
      <c r="K577" s="16">
        <v>6.54</v>
      </c>
      <c r="L577" s="16">
        <v>10.43</v>
      </c>
      <c r="M577" s="16">
        <v>10.11</v>
      </c>
    </row>
    <row r="578" spans="1:13" ht="33.75" outlineLevel="3" x14ac:dyDescent="0.2">
      <c r="B578" s="4" t="str">
        <f>"0000850030"</f>
        <v>0000850030</v>
      </c>
      <c r="C578" s="5" t="str">
        <f>"454230"</f>
        <v>454230</v>
      </c>
      <c r="D578" s="12" t="s">
        <v>145</v>
      </c>
      <c r="E578" s="14" t="s">
        <v>102</v>
      </c>
      <c r="F578" s="12" t="s">
        <v>3</v>
      </c>
      <c r="G578" s="15">
        <v>30</v>
      </c>
      <c r="H578" s="12" t="s">
        <v>147</v>
      </c>
      <c r="I578" s="12" t="s">
        <v>148</v>
      </c>
      <c r="K578" s="16">
        <v>6.54</v>
      </c>
      <c r="L578" s="16">
        <v>10.43</v>
      </c>
      <c r="M578" s="16">
        <v>10.11</v>
      </c>
    </row>
    <row r="579" spans="1:13" ht="22.5" outlineLevel="3" x14ac:dyDescent="0.2">
      <c r="B579" s="4" t="str">
        <f>"0000850030"</f>
        <v>0000850030</v>
      </c>
      <c r="C579" s="5" t="str">
        <f>"023488"</f>
        <v>023488</v>
      </c>
      <c r="D579" s="12" t="s">
        <v>149</v>
      </c>
      <c r="E579" s="14" t="s">
        <v>102</v>
      </c>
      <c r="F579" s="12" t="s">
        <v>73</v>
      </c>
      <c r="G579" s="15">
        <v>28</v>
      </c>
      <c r="H579" s="12" t="s">
        <v>147</v>
      </c>
      <c r="I579" s="12" t="s">
        <v>60</v>
      </c>
      <c r="K579" s="16">
        <v>5.4</v>
      </c>
      <c r="L579" s="16">
        <v>8.61</v>
      </c>
      <c r="M579" s="16">
        <v>10.11</v>
      </c>
    </row>
    <row r="580" spans="1:13" outlineLevel="2" x14ac:dyDescent="0.2"/>
    <row r="581" spans="1:13" outlineLevel="3" x14ac:dyDescent="0.2">
      <c r="B581" s="4" t="str">
        <f>"0000850100"</f>
        <v>0000850100</v>
      </c>
      <c r="C581" s="5" t="str">
        <f>"428714"</f>
        <v>428714</v>
      </c>
      <c r="D581" s="12" t="s">
        <v>151</v>
      </c>
      <c r="E581" s="14" t="s">
        <v>102</v>
      </c>
      <c r="F581" s="12" t="s">
        <v>73</v>
      </c>
      <c r="G581" s="15">
        <v>100</v>
      </c>
      <c r="H581" s="12" t="s">
        <v>147</v>
      </c>
      <c r="I581" s="12" t="s">
        <v>152</v>
      </c>
      <c r="K581" s="16">
        <v>33.450000000000003</v>
      </c>
      <c r="L581" s="16">
        <v>50.69</v>
      </c>
      <c r="M581" s="16">
        <v>17.809999999999999</v>
      </c>
    </row>
    <row r="582" spans="1:13" outlineLevel="3" x14ac:dyDescent="0.2">
      <c r="B582" s="4" t="str">
        <f>"0000850100"</f>
        <v>0000850100</v>
      </c>
      <c r="C582" s="5" t="str">
        <f>"167772"</f>
        <v>167772</v>
      </c>
      <c r="D582" s="12" t="s">
        <v>150</v>
      </c>
      <c r="E582" s="14" t="s">
        <v>102</v>
      </c>
      <c r="F582" s="12" t="s">
        <v>73</v>
      </c>
      <c r="G582" s="15">
        <v>100</v>
      </c>
      <c r="H582" s="12" t="s">
        <v>147</v>
      </c>
      <c r="I582" s="12" t="s">
        <v>62</v>
      </c>
      <c r="K582" s="16">
        <v>11.56</v>
      </c>
      <c r="L582" s="16">
        <v>18.18</v>
      </c>
      <c r="M582" s="16">
        <v>17.809999999999999</v>
      </c>
    </row>
    <row r="583" spans="1:13" outlineLevel="3" x14ac:dyDescent="0.2">
      <c r="B583" s="4" t="str">
        <f>"0000850100"</f>
        <v>0000850100</v>
      </c>
      <c r="C583" s="5" t="str">
        <f>"447596"</f>
        <v>447596</v>
      </c>
      <c r="D583" s="12" t="s">
        <v>153</v>
      </c>
      <c r="E583" s="14" t="s">
        <v>102</v>
      </c>
      <c r="F583" s="12" t="s">
        <v>73</v>
      </c>
      <c r="G583" s="15">
        <v>100</v>
      </c>
      <c r="H583" s="12" t="s">
        <v>147</v>
      </c>
      <c r="I583" s="12" t="s">
        <v>5</v>
      </c>
      <c r="K583" s="16">
        <v>11.56</v>
      </c>
      <c r="L583" s="16">
        <v>18.18</v>
      </c>
      <c r="M583" s="16">
        <v>17.809999999999999</v>
      </c>
    </row>
    <row r="584" spans="1:13" ht="33.75" outlineLevel="3" x14ac:dyDescent="0.2">
      <c r="B584" s="4" t="str">
        <f>"0000850100"</f>
        <v>0000850100</v>
      </c>
      <c r="C584" s="5" t="str">
        <f>"540587"</f>
        <v>540587</v>
      </c>
      <c r="D584" s="12" t="s">
        <v>145</v>
      </c>
      <c r="E584" s="14" t="s">
        <v>102</v>
      </c>
      <c r="F584" s="12" t="s">
        <v>3</v>
      </c>
      <c r="G584" s="15">
        <v>100</v>
      </c>
      <c r="H584" s="12" t="s">
        <v>147</v>
      </c>
      <c r="I584" s="12" t="s">
        <v>148</v>
      </c>
      <c r="K584" s="16">
        <v>11.56</v>
      </c>
      <c r="L584" s="16">
        <v>18.18</v>
      </c>
      <c r="M584" s="16">
        <v>17.809999999999999</v>
      </c>
    </row>
    <row r="585" spans="1:13" ht="22.5" outlineLevel="3" x14ac:dyDescent="0.2">
      <c r="B585" s="4" t="str">
        <f>"0000850100"</f>
        <v>0000850100</v>
      </c>
      <c r="C585" s="5" t="str">
        <f>"018442"</f>
        <v>018442</v>
      </c>
      <c r="D585" s="12" t="s">
        <v>149</v>
      </c>
      <c r="E585" s="14" t="s">
        <v>102</v>
      </c>
      <c r="F585" s="12" t="s">
        <v>73</v>
      </c>
      <c r="G585" s="15">
        <v>100</v>
      </c>
      <c r="H585" s="12" t="s">
        <v>147</v>
      </c>
      <c r="I585" s="12" t="s">
        <v>60</v>
      </c>
      <c r="K585" s="16">
        <v>10.3</v>
      </c>
      <c r="L585" s="16">
        <v>16.309999999999999</v>
      </c>
      <c r="M585" s="16">
        <v>17.809999999999999</v>
      </c>
    </row>
    <row r="586" spans="1:13" outlineLevel="2" x14ac:dyDescent="0.2"/>
    <row r="587" spans="1:13" ht="22.5" outlineLevel="3" x14ac:dyDescent="0.2">
      <c r="B587" s="4" t="str">
        <f>"0000880030"</f>
        <v>0000880030</v>
      </c>
      <c r="C587" s="5" t="str">
        <f>"395932"</f>
        <v>395932</v>
      </c>
      <c r="D587" s="12" t="s">
        <v>149</v>
      </c>
      <c r="E587" s="14" t="s">
        <v>154</v>
      </c>
      <c r="F587" s="12" t="s">
        <v>73</v>
      </c>
      <c r="G587" s="15">
        <v>30</v>
      </c>
      <c r="H587" s="12" t="s">
        <v>147</v>
      </c>
      <c r="I587" s="12" t="s">
        <v>60</v>
      </c>
      <c r="K587" s="16">
        <v>2.63</v>
      </c>
      <c r="L587" s="16">
        <v>4.1900000000000004</v>
      </c>
      <c r="M587" s="16">
        <v>5.69</v>
      </c>
    </row>
    <row r="588" spans="1:13" outlineLevel="2" x14ac:dyDescent="0.2"/>
    <row r="589" spans="1:13" outlineLevel="3" x14ac:dyDescent="0.2">
      <c r="B589" s="4" t="str">
        <f>"0000880100"</f>
        <v>0000880100</v>
      </c>
      <c r="C589" s="5" t="str">
        <f>"142615"</f>
        <v>142615</v>
      </c>
      <c r="D589" s="12" t="s">
        <v>153</v>
      </c>
      <c r="E589" s="14" t="s">
        <v>154</v>
      </c>
      <c r="F589" s="12" t="s">
        <v>73</v>
      </c>
      <c r="G589" s="15">
        <v>100</v>
      </c>
      <c r="H589" s="12" t="s">
        <v>147</v>
      </c>
      <c r="I589" s="12" t="s">
        <v>5</v>
      </c>
      <c r="K589" s="16">
        <v>9.0500000000000007</v>
      </c>
      <c r="L589" s="16">
        <v>14.43</v>
      </c>
      <c r="M589" s="16">
        <v>14.11</v>
      </c>
    </row>
    <row r="590" spans="1:13" outlineLevel="3" x14ac:dyDescent="0.2">
      <c r="B590" s="4" t="str">
        <f>"0000880100"</f>
        <v>0000880100</v>
      </c>
      <c r="C590" s="5" t="str">
        <f>"487188"</f>
        <v>487188</v>
      </c>
      <c r="D590" s="12" t="s">
        <v>150</v>
      </c>
      <c r="E590" s="14" t="s">
        <v>154</v>
      </c>
      <c r="F590" s="12" t="s">
        <v>73</v>
      </c>
      <c r="G590" s="15">
        <v>100</v>
      </c>
      <c r="H590" s="12" t="s">
        <v>147</v>
      </c>
      <c r="I590" s="12" t="s">
        <v>62</v>
      </c>
      <c r="K590" s="16">
        <v>9.0399999999999991</v>
      </c>
      <c r="L590" s="16">
        <v>14.42</v>
      </c>
      <c r="M590" s="16">
        <v>14.11</v>
      </c>
    </row>
    <row r="591" spans="1:13" ht="22.5" outlineLevel="3" x14ac:dyDescent="0.2">
      <c r="B591" s="4" t="str">
        <f>"0000880100"</f>
        <v>0000880100</v>
      </c>
      <c r="C591" s="5" t="str">
        <f>"018420"</f>
        <v>018420</v>
      </c>
      <c r="D591" s="12" t="s">
        <v>149</v>
      </c>
      <c r="E591" s="14" t="s">
        <v>154</v>
      </c>
      <c r="F591" s="12" t="s">
        <v>73</v>
      </c>
      <c r="G591" s="15">
        <v>100</v>
      </c>
      <c r="H591" s="12" t="s">
        <v>147</v>
      </c>
      <c r="I591" s="12" t="s">
        <v>60</v>
      </c>
      <c r="K591" s="16">
        <v>7.9</v>
      </c>
      <c r="L591" s="16">
        <v>12.61</v>
      </c>
      <c r="M591" s="16">
        <v>14.11</v>
      </c>
    </row>
    <row r="592" spans="1:13" outlineLevel="1" x14ac:dyDescent="0.2">
      <c r="A592" s="3"/>
    </row>
    <row r="593" spans="1:13" outlineLevel="2" x14ac:dyDescent="0.2">
      <c r="A593" s="3" t="s">
        <v>1435</v>
      </c>
    </row>
    <row r="594" spans="1:13" ht="33.75" outlineLevel="3" x14ac:dyDescent="0.2">
      <c r="B594" s="4" t="str">
        <f>"0000900100"</f>
        <v>0000900100</v>
      </c>
      <c r="C594" s="5" t="str">
        <f>"008967"</f>
        <v>008967</v>
      </c>
      <c r="D594" s="12" t="s">
        <v>155</v>
      </c>
      <c r="E594" s="14" t="s">
        <v>156</v>
      </c>
      <c r="F594" s="12" t="s">
        <v>3</v>
      </c>
      <c r="G594" s="15">
        <v>100</v>
      </c>
      <c r="H594" s="12" t="s">
        <v>157</v>
      </c>
      <c r="I594" s="12" t="s">
        <v>58</v>
      </c>
      <c r="K594" s="16">
        <v>23.9</v>
      </c>
      <c r="L594" s="16">
        <v>36.51</v>
      </c>
      <c r="M594" s="16">
        <v>37.86</v>
      </c>
    </row>
    <row r="595" spans="1:13" ht="33.75" outlineLevel="3" x14ac:dyDescent="0.2">
      <c r="B595" s="4" t="str">
        <f>"0000900100"</f>
        <v>0000900100</v>
      </c>
      <c r="C595" s="5" t="str">
        <f>"009918"</f>
        <v>009918</v>
      </c>
      <c r="D595" s="12" t="s">
        <v>158</v>
      </c>
      <c r="E595" s="14" t="s">
        <v>156</v>
      </c>
      <c r="F595" s="12" t="s">
        <v>3</v>
      </c>
      <c r="G595" s="15">
        <v>100</v>
      </c>
      <c r="H595" s="12" t="s">
        <v>157</v>
      </c>
      <c r="I595" s="12" t="s">
        <v>5</v>
      </c>
      <c r="K595" s="16">
        <v>23.9</v>
      </c>
      <c r="L595" s="16">
        <v>36.51</v>
      </c>
      <c r="M595" s="16">
        <v>37.86</v>
      </c>
    </row>
    <row r="596" spans="1:13" ht="33.75" outlineLevel="3" x14ac:dyDescent="0.2">
      <c r="B596" s="4" t="str">
        <f>"0000900100"</f>
        <v>0000900100</v>
      </c>
      <c r="C596" s="5" t="str">
        <f>"067181"</f>
        <v>067181</v>
      </c>
      <c r="D596" s="12" t="s">
        <v>159</v>
      </c>
      <c r="E596" s="14" t="s">
        <v>156</v>
      </c>
      <c r="F596" s="12" t="s">
        <v>3</v>
      </c>
      <c r="G596" s="15">
        <v>100</v>
      </c>
      <c r="H596" s="12" t="s">
        <v>157</v>
      </c>
      <c r="I596" s="12" t="s">
        <v>131</v>
      </c>
      <c r="K596" s="16">
        <v>23.8</v>
      </c>
      <c r="L596" s="16">
        <v>36.36</v>
      </c>
      <c r="M596" s="16">
        <v>37.86</v>
      </c>
    </row>
    <row r="597" spans="1:13" ht="33.75" outlineLevel="3" x14ac:dyDescent="0.2">
      <c r="B597" s="4" t="str">
        <f>"0000910030"</f>
        <v>0000910030</v>
      </c>
      <c r="C597" s="5" t="str">
        <f>"010141"</f>
        <v>010141</v>
      </c>
      <c r="D597" s="12" t="s">
        <v>158</v>
      </c>
      <c r="E597" s="14" t="s">
        <v>160</v>
      </c>
      <c r="F597" s="12" t="s">
        <v>3</v>
      </c>
      <c r="G597" s="15">
        <v>30</v>
      </c>
      <c r="H597" s="12" t="s">
        <v>157</v>
      </c>
      <c r="I597" s="12" t="s">
        <v>5</v>
      </c>
      <c r="K597" s="16">
        <v>4.38</v>
      </c>
      <c r="L597" s="16">
        <v>6.99</v>
      </c>
      <c r="M597" s="16">
        <v>8.49</v>
      </c>
    </row>
    <row r="598" spans="1:13" ht="33.75" outlineLevel="3" x14ac:dyDescent="0.2">
      <c r="B598" s="4" t="str">
        <f>"0000910030"</f>
        <v>0000910030</v>
      </c>
      <c r="C598" s="5" t="str">
        <f>"067199"</f>
        <v>067199</v>
      </c>
      <c r="D598" s="12" t="s">
        <v>159</v>
      </c>
      <c r="E598" s="14" t="s">
        <v>160</v>
      </c>
      <c r="F598" s="12" t="s">
        <v>3</v>
      </c>
      <c r="G598" s="15">
        <v>30</v>
      </c>
      <c r="H598" s="12" t="s">
        <v>157</v>
      </c>
      <c r="I598" s="12" t="s">
        <v>131</v>
      </c>
      <c r="K598" s="16">
        <v>4.38</v>
      </c>
      <c r="L598" s="16">
        <v>6.99</v>
      </c>
      <c r="M598" s="16">
        <v>8.49</v>
      </c>
    </row>
    <row r="599" spans="1:13" outlineLevel="2" x14ac:dyDescent="0.2"/>
    <row r="600" spans="1:13" ht="33.75" outlineLevel="3" x14ac:dyDescent="0.2">
      <c r="B600" s="4" t="str">
        <f>"0000910100"</f>
        <v>0000910100</v>
      </c>
      <c r="C600" s="5" t="str">
        <f>"009298"</f>
        <v>009298</v>
      </c>
      <c r="D600" s="12" t="s">
        <v>155</v>
      </c>
      <c r="E600" s="14" t="s">
        <v>160</v>
      </c>
      <c r="F600" s="12" t="s">
        <v>3</v>
      </c>
      <c r="G600" s="15">
        <v>100</v>
      </c>
      <c r="H600" s="12" t="s">
        <v>157</v>
      </c>
      <c r="I600" s="12" t="s">
        <v>58</v>
      </c>
      <c r="K600" s="16">
        <v>13.28</v>
      </c>
      <c r="L600" s="16">
        <v>20.74</v>
      </c>
      <c r="M600" s="16">
        <v>22.24</v>
      </c>
    </row>
    <row r="601" spans="1:13" ht="33.75" outlineLevel="3" x14ac:dyDescent="0.2">
      <c r="B601" s="4" t="str">
        <f>"0000910100"</f>
        <v>0000910100</v>
      </c>
      <c r="C601" s="5" t="str">
        <f>"010128"</f>
        <v>010128</v>
      </c>
      <c r="D601" s="12" t="s">
        <v>158</v>
      </c>
      <c r="E601" s="14" t="s">
        <v>160</v>
      </c>
      <c r="F601" s="12" t="s">
        <v>3</v>
      </c>
      <c r="G601" s="15">
        <v>100</v>
      </c>
      <c r="H601" s="12" t="s">
        <v>157</v>
      </c>
      <c r="I601" s="12" t="s">
        <v>5</v>
      </c>
      <c r="K601" s="16">
        <v>13.28</v>
      </c>
      <c r="L601" s="16">
        <v>20.74</v>
      </c>
      <c r="M601" s="16">
        <v>22.24</v>
      </c>
    </row>
    <row r="602" spans="1:13" ht="33.75" outlineLevel="3" x14ac:dyDescent="0.2">
      <c r="B602" s="4" t="str">
        <f>"0000910100"</f>
        <v>0000910100</v>
      </c>
      <c r="C602" s="5" t="str">
        <f>"067686"</f>
        <v>067686</v>
      </c>
      <c r="D602" s="12" t="s">
        <v>159</v>
      </c>
      <c r="E602" s="14" t="s">
        <v>160</v>
      </c>
      <c r="F602" s="12" t="s">
        <v>3</v>
      </c>
      <c r="G602" s="15">
        <v>100</v>
      </c>
      <c r="H602" s="12" t="s">
        <v>157</v>
      </c>
      <c r="I602" s="12" t="s">
        <v>131</v>
      </c>
      <c r="K602" s="16">
        <v>13.28</v>
      </c>
      <c r="L602" s="16">
        <v>20.74</v>
      </c>
      <c r="M602" s="16">
        <v>22.24</v>
      </c>
    </row>
    <row r="603" spans="1:13" outlineLevel="1" x14ac:dyDescent="0.2">
      <c r="A603" s="3"/>
    </row>
    <row r="604" spans="1:13" outlineLevel="2" x14ac:dyDescent="0.2">
      <c r="A604" s="3" t="s">
        <v>1436</v>
      </c>
    </row>
    <row r="605" spans="1:13" outlineLevel="3" x14ac:dyDescent="0.2">
      <c r="B605" s="4" t="str">
        <f t="shared" ref="B605:B610" si="17">"0005650030"</f>
        <v>0005650030</v>
      </c>
      <c r="C605" s="5" t="str">
        <f>"005819"</f>
        <v>005819</v>
      </c>
      <c r="D605" s="12" t="s">
        <v>679</v>
      </c>
      <c r="E605" s="14" t="s">
        <v>111</v>
      </c>
      <c r="F605" s="12" t="s">
        <v>73</v>
      </c>
      <c r="G605" s="15">
        <v>28</v>
      </c>
      <c r="H605" s="12" t="s">
        <v>680</v>
      </c>
      <c r="I605" s="12" t="s">
        <v>240</v>
      </c>
      <c r="K605" s="16">
        <v>6.37</v>
      </c>
      <c r="L605" s="16">
        <v>10.16</v>
      </c>
      <c r="M605" s="16">
        <v>8.84</v>
      </c>
    </row>
    <row r="606" spans="1:13" ht="22.5" outlineLevel="3" x14ac:dyDescent="0.2">
      <c r="B606" s="4" t="str">
        <f t="shared" si="17"/>
        <v>0005650030</v>
      </c>
      <c r="C606" s="5" t="str">
        <f>"017196"</f>
        <v>017196</v>
      </c>
      <c r="D606" s="12" t="s">
        <v>681</v>
      </c>
      <c r="E606" s="14" t="s">
        <v>111</v>
      </c>
      <c r="F606" s="12" t="s">
        <v>73</v>
      </c>
      <c r="G606" s="15">
        <v>30</v>
      </c>
      <c r="H606" s="12" t="s">
        <v>680</v>
      </c>
      <c r="I606" s="12" t="s">
        <v>68</v>
      </c>
      <c r="K606" s="16">
        <v>5.54</v>
      </c>
      <c r="L606" s="16">
        <v>8.83</v>
      </c>
      <c r="M606" s="16">
        <v>8.84</v>
      </c>
    </row>
    <row r="607" spans="1:13" ht="22.5" outlineLevel="3" x14ac:dyDescent="0.2">
      <c r="B607" s="4" t="str">
        <f t="shared" si="17"/>
        <v>0005650030</v>
      </c>
      <c r="C607" s="5" t="str">
        <f>"031787"</f>
        <v>031787</v>
      </c>
      <c r="D607" s="12" t="s">
        <v>682</v>
      </c>
      <c r="E607" s="14" t="s">
        <v>111</v>
      </c>
      <c r="F607" s="12" t="s">
        <v>73</v>
      </c>
      <c r="G607" s="15">
        <v>28</v>
      </c>
      <c r="H607" s="12" t="s">
        <v>680</v>
      </c>
      <c r="I607" s="12" t="s">
        <v>104</v>
      </c>
      <c r="K607" s="16">
        <v>5.54</v>
      </c>
      <c r="L607" s="16">
        <v>8.83</v>
      </c>
      <c r="M607" s="16">
        <v>8.84</v>
      </c>
    </row>
    <row r="608" spans="1:13" outlineLevel="3" x14ac:dyDescent="0.2">
      <c r="B608" s="4" t="str">
        <f t="shared" si="17"/>
        <v>0005650030</v>
      </c>
      <c r="C608" s="5" t="str">
        <f>"065933"</f>
        <v>065933</v>
      </c>
      <c r="D608" s="12" t="s">
        <v>683</v>
      </c>
      <c r="E608" s="14" t="s">
        <v>111</v>
      </c>
      <c r="F608" s="12" t="s">
        <v>73</v>
      </c>
      <c r="G608" s="15">
        <v>30</v>
      </c>
      <c r="H608" s="12" t="s">
        <v>680</v>
      </c>
      <c r="I608" s="12" t="s">
        <v>30</v>
      </c>
      <c r="K608" s="16">
        <v>5.54</v>
      </c>
      <c r="L608" s="16">
        <v>8.83</v>
      </c>
      <c r="M608" s="16">
        <v>8.84</v>
      </c>
    </row>
    <row r="609" spans="2:13" outlineLevel="3" x14ac:dyDescent="0.2">
      <c r="B609" s="4" t="str">
        <f t="shared" si="17"/>
        <v>0005650030</v>
      </c>
      <c r="C609" s="5" t="str">
        <f>"161462"</f>
        <v>161462</v>
      </c>
      <c r="D609" s="12" t="s">
        <v>684</v>
      </c>
      <c r="E609" s="14" t="s">
        <v>111</v>
      </c>
      <c r="F609" s="12" t="s">
        <v>73</v>
      </c>
      <c r="G609" s="15">
        <v>30</v>
      </c>
      <c r="H609" s="12" t="s">
        <v>680</v>
      </c>
      <c r="I609" s="12" t="s">
        <v>5</v>
      </c>
      <c r="K609" s="16">
        <v>5.54</v>
      </c>
      <c r="L609" s="16">
        <v>8.83</v>
      </c>
      <c r="M609" s="16">
        <v>8.84</v>
      </c>
    </row>
    <row r="610" spans="2:13" outlineLevel="3" x14ac:dyDescent="0.2">
      <c r="B610" s="4" t="str">
        <f t="shared" si="17"/>
        <v>0005650030</v>
      </c>
      <c r="C610" s="5" t="str">
        <f>"387984"</f>
        <v>387984</v>
      </c>
      <c r="D610" s="12" t="s">
        <v>685</v>
      </c>
      <c r="E610" s="14" t="s">
        <v>111</v>
      </c>
      <c r="F610" s="12" t="s">
        <v>73</v>
      </c>
      <c r="G610" s="15">
        <v>30</v>
      </c>
      <c r="H610" s="12" t="s">
        <v>680</v>
      </c>
      <c r="I610" s="12" t="s">
        <v>64</v>
      </c>
      <c r="K610" s="16">
        <v>4.5999999999999996</v>
      </c>
      <c r="L610" s="16">
        <v>7.34</v>
      </c>
      <c r="M610" s="16">
        <v>8.84</v>
      </c>
    </row>
    <row r="611" spans="2:13" outlineLevel="2" x14ac:dyDescent="0.2"/>
    <row r="612" spans="2:13" outlineLevel="3" x14ac:dyDescent="0.2">
      <c r="B612" s="4" t="str">
        <f t="shared" ref="B612:B618" si="18">"0005650100"</f>
        <v>0005650100</v>
      </c>
      <c r="C612" s="5" t="str">
        <f>"005876"</f>
        <v>005876</v>
      </c>
      <c r="D612" s="12" t="s">
        <v>679</v>
      </c>
      <c r="E612" s="14" t="s">
        <v>111</v>
      </c>
      <c r="F612" s="12" t="s">
        <v>73</v>
      </c>
      <c r="G612" s="15">
        <v>98</v>
      </c>
      <c r="H612" s="12" t="s">
        <v>680</v>
      </c>
      <c r="I612" s="12" t="s">
        <v>240</v>
      </c>
      <c r="K612" s="16">
        <v>10.19</v>
      </c>
      <c r="L612" s="16">
        <v>16.149999999999999</v>
      </c>
      <c r="M612" s="16">
        <v>11.39</v>
      </c>
    </row>
    <row r="613" spans="2:13" ht="22.5" outlineLevel="3" x14ac:dyDescent="0.2">
      <c r="B613" s="4" t="str">
        <f t="shared" si="18"/>
        <v>0005650100</v>
      </c>
      <c r="C613" s="5" t="str">
        <f>"017248"</f>
        <v>017248</v>
      </c>
      <c r="D613" s="12" t="s">
        <v>681</v>
      </c>
      <c r="E613" s="14" t="s">
        <v>111</v>
      </c>
      <c r="F613" s="12" t="s">
        <v>73</v>
      </c>
      <c r="G613" s="15">
        <v>100</v>
      </c>
      <c r="H613" s="12" t="s">
        <v>680</v>
      </c>
      <c r="I613" s="12" t="s">
        <v>68</v>
      </c>
      <c r="K613" s="16">
        <v>7.14</v>
      </c>
      <c r="L613" s="16">
        <v>11.39</v>
      </c>
      <c r="M613" s="16">
        <v>11.39</v>
      </c>
    </row>
    <row r="614" spans="2:13" ht="22.5" outlineLevel="3" x14ac:dyDescent="0.2">
      <c r="B614" s="4" t="str">
        <f t="shared" si="18"/>
        <v>0005650100</v>
      </c>
      <c r="C614" s="5" t="str">
        <f>"031796"</f>
        <v>031796</v>
      </c>
      <c r="D614" s="12" t="s">
        <v>682</v>
      </c>
      <c r="E614" s="14" t="s">
        <v>111</v>
      </c>
      <c r="F614" s="12" t="s">
        <v>73</v>
      </c>
      <c r="G614" s="15">
        <v>98</v>
      </c>
      <c r="H614" s="12" t="s">
        <v>680</v>
      </c>
      <c r="I614" s="12" t="s">
        <v>104</v>
      </c>
      <c r="K614" s="16">
        <v>7.14</v>
      </c>
      <c r="L614" s="16">
        <v>11.39</v>
      </c>
      <c r="M614" s="16">
        <v>11.39</v>
      </c>
    </row>
    <row r="615" spans="2:13" outlineLevel="3" x14ac:dyDescent="0.2">
      <c r="B615" s="4" t="str">
        <f t="shared" si="18"/>
        <v>0005650100</v>
      </c>
      <c r="C615" s="5" t="str">
        <f>"063375"</f>
        <v>063375</v>
      </c>
      <c r="D615" s="12" t="s">
        <v>686</v>
      </c>
      <c r="E615" s="14" t="s">
        <v>111</v>
      </c>
      <c r="F615" s="12" t="s">
        <v>73</v>
      </c>
      <c r="G615" s="15">
        <v>100</v>
      </c>
      <c r="H615" s="12" t="s">
        <v>680</v>
      </c>
      <c r="I615" s="12" t="s">
        <v>70</v>
      </c>
      <c r="K615" s="16">
        <v>7.14</v>
      </c>
      <c r="L615" s="16">
        <v>11.39</v>
      </c>
      <c r="M615" s="16">
        <v>11.39</v>
      </c>
    </row>
    <row r="616" spans="2:13" outlineLevel="3" x14ac:dyDescent="0.2">
      <c r="B616" s="4" t="str">
        <f t="shared" si="18"/>
        <v>0005650100</v>
      </c>
      <c r="C616" s="5" t="str">
        <f>"086625"</f>
        <v>086625</v>
      </c>
      <c r="D616" s="12" t="s">
        <v>683</v>
      </c>
      <c r="E616" s="14" t="s">
        <v>111</v>
      </c>
      <c r="F616" s="12" t="s">
        <v>73</v>
      </c>
      <c r="G616" s="15">
        <v>100</v>
      </c>
      <c r="H616" s="12" t="s">
        <v>680</v>
      </c>
      <c r="I616" s="12" t="s">
        <v>30</v>
      </c>
      <c r="K616" s="16">
        <v>7.14</v>
      </c>
      <c r="L616" s="16">
        <v>11.39</v>
      </c>
      <c r="M616" s="16">
        <v>11.39</v>
      </c>
    </row>
    <row r="617" spans="2:13" outlineLevel="3" x14ac:dyDescent="0.2">
      <c r="B617" s="4" t="str">
        <f t="shared" si="18"/>
        <v>0005650100</v>
      </c>
      <c r="C617" s="5" t="str">
        <f>"161473"</f>
        <v>161473</v>
      </c>
      <c r="D617" s="12" t="s">
        <v>684</v>
      </c>
      <c r="E617" s="14" t="s">
        <v>111</v>
      </c>
      <c r="F617" s="12" t="s">
        <v>73</v>
      </c>
      <c r="G617" s="15">
        <v>100</v>
      </c>
      <c r="H617" s="12" t="s">
        <v>680</v>
      </c>
      <c r="I617" s="12" t="s">
        <v>5</v>
      </c>
      <c r="K617" s="16">
        <v>7.14</v>
      </c>
      <c r="L617" s="16">
        <v>11.39</v>
      </c>
      <c r="M617" s="16">
        <v>11.39</v>
      </c>
    </row>
    <row r="618" spans="2:13" outlineLevel="3" x14ac:dyDescent="0.2">
      <c r="B618" s="4" t="str">
        <f t="shared" si="18"/>
        <v>0005650100</v>
      </c>
      <c r="C618" s="5" t="str">
        <f>"140132"</f>
        <v>140132</v>
      </c>
      <c r="D618" s="12" t="s">
        <v>685</v>
      </c>
      <c r="E618" s="14" t="s">
        <v>111</v>
      </c>
      <c r="F618" s="12" t="s">
        <v>73</v>
      </c>
      <c r="G618" s="15">
        <v>100</v>
      </c>
      <c r="H618" s="12" t="s">
        <v>680</v>
      </c>
      <c r="I618" s="12" t="s">
        <v>64</v>
      </c>
      <c r="K618" s="16">
        <v>6.2</v>
      </c>
      <c r="L618" s="16">
        <v>9.89</v>
      </c>
      <c r="M618" s="16">
        <v>11.39</v>
      </c>
    </row>
    <row r="619" spans="2:13" outlineLevel="2" x14ac:dyDescent="0.2"/>
    <row r="620" spans="2:13" outlineLevel="3" x14ac:dyDescent="0.2">
      <c r="B620" s="4" t="str">
        <f>"0005650250"</f>
        <v>0005650250</v>
      </c>
      <c r="C620" s="5" t="str">
        <f>"028986"</f>
        <v>028986</v>
      </c>
      <c r="D620" s="12" t="s">
        <v>686</v>
      </c>
      <c r="E620" s="14" t="s">
        <v>111</v>
      </c>
      <c r="F620" s="12" t="s">
        <v>73</v>
      </c>
      <c r="G620" s="15">
        <v>250</v>
      </c>
      <c r="H620" s="12" t="s">
        <v>680</v>
      </c>
      <c r="I620" s="12" t="s">
        <v>70</v>
      </c>
      <c r="J620" s="2" t="s">
        <v>1400</v>
      </c>
      <c r="K620" s="16" t="s">
        <v>1401</v>
      </c>
      <c r="L620" s="16" t="s">
        <v>1401</v>
      </c>
      <c r="M620" s="16">
        <v>28.25</v>
      </c>
    </row>
    <row r="621" spans="2:13" outlineLevel="3" x14ac:dyDescent="0.2">
      <c r="B621" s="4" t="str">
        <f>"0005650250"</f>
        <v>0005650250</v>
      </c>
      <c r="C621" s="5" t="str">
        <f>"176455"</f>
        <v>176455</v>
      </c>
      <c r="D621" s="12" t="s">
        <v>684</v>
      </c>
      <c r="E621" s="14" t="s">
        <v>111</v>
      </c>
      <c r="F621" s="12" t="s">
        <v>73</v>
      </c>
      <c r="G621" s="15">
        <v>250</v>
      </c>
      <c r="H621" s="12" t="s">
        <v>680</v>
      </c>
      <c r="I621" s="12" t="s">
        <v>5</v>
      </c>
      <c r="K621" s="16">
        <v>17.329999999999998</v>
      </c>
      <c r="L621" s="16">
        <v>26.75</v>
      </c>
      <c r="M621" s="16">
        <v>28.25</v>
      </c>
    </row>
    <row r="622" spans="2:13" outlineLevel="2" x14ac:dyDescent="0.2"/>
    <row r="623" spans="2:13" outlineLevel="3" x14ac:dyDescent="0.2">
      <c r="B623" s="4" t="str">
        <f>"0005660030"</f>
        <v>0005660030</v>
      </c>
      <c r="C623" s="5" t="str">
        <f>"388538"</f>
        <v>388538</v>
      </c>
      <c r="D623" s="12" t="s">
        <v>679</v>
      </c>
      <c r="E623" s="14" t="s">
        <v>82</v>
      </c>
      <c r="F623" s="12" t="s">
        <v>73</v>
      </c>
      <c r="G623" s="15">
        <v>28</v>
      </c>
      <c r="H623" s="12" t="s">
        <v>680</v>
      </c>
      <c r="I623" s="12" t="s">
        <v>240</v>
      </c>
      <c r="K623" s="16">
        <v>9.51</v>
      </c>
      <c r="L623" s="16">
        <v>15.14</v>
      </c>
      <c r="M623" s="16">
        <v>11.95</v>
      </c>
    </row>
    <row r="624" spans="2:13" ht="22.5" outlineLevel="3" x14ac:dyDescent="0.2">
      <c r="B624" s="4" t="str">
        <f>"0005660030"</f>
        <v>0005660030</v>
      </c>
      <c r="C624" s="5" t="str">
        <f>"031805"</f>
        <v>031805</v>
      </c>
      <c r="D624" s="12" t="s">
        <v>682</v>
      </c>
      <c r="E624" s="14" t="s">
        <v>82</v>
      </c>
      <c r="F624" s="12" t="s">
        <v>73</v>
      </c>
      <c r="G624" s="15">
        <v>28</v>
      </c>
      <c r="H624" s="12" t="s">
        <v>680</v>
      </c>
      <c r="I624" s="12" t="s">
        <v>104</v>
      </c>
      <c r="K624" s="16">
        <v>7.49</v>
      </c>
      <c r="L624" s="16">
        <v>11.95</v>
      </c>
      <c r="M624" s="16">
        <v>11.95</v>
      </c>
    </row>
    <row r="625" spans="1:13" outlineLevel="3" x14ac:dyDescent="0.2">
      <c r="B625" s="4" t="str">
        <f>"0005660030"</f>
        <v>0005660030</v>
      </c>
      <c r="C625" s="5" t="str">
        <f>"065915"</f>
        <v>065915</v>
      </c>
      <c r="D625" s="12" t="s">
        <v>683</v>
      </c>
      <c r="E625" s="14" t="s">
        <v>82</v>
      </c>
      <c r="F625" s="12" t="s">
        <v>73</v>
      </c>
      <c r="G625" s="15">
        <v>30</v>
      </c>
      <c r="H625" s="12" t="s">
        <v>680</v>
      </c>
      <c r="I625" s="12" t="s">
        <v>30</v>
      </c>
      <c r="K625" s="16">
        <v>7.49</v>
      </c>
      <c r="L625" s="16">
        <v>11.95</v>
      </c>
      <c r="M625" s="16">
        <v>11.95</v>
      </c>
    </row>
    <row r="626" spans="1:13" outlineLevel="3" x14ac:dyDescent="0.2">
      <c r="B626" s="4" t="str">
        <f>"0005660030"</f>
        <v>0005660030</v>
      </c>
      <c r="C626" s="5" t="str">
        <f>"161484"</f>
        <v>161484</v>
      </c>
      <c r="D626" s="12" t="s">
        <v>684</v>
      </c>
      <c r="E626" s="14" t="s">
        <v>82</v>
      </c>
      <c r="F626" s="12" t="s">
        <v>73</v>
      </c>
      <c r="G626" s="15">
        <v>30</v>
      </c>
      <c r="H626" s="12" t="s">
        <v>680</v>
      </c>
      <c r="I626" s="12" t="s">
        <v>5</v>
      </c>
      <c r="K626" s="16">
        <v>7.49</v>
      </c>
      <c r="L626" s="16">
        <v>11.95</v>
      </c>
      <c r="M626" s="16">
        <v>11.95</v>
      </c>
    </row>
    <row r="627" spans="1:13" outlineLevel="3" x14ac:dyDescent="0.2">
      <c r="B627" s="4" t="str">
        <f>"0005660030"</f>
        <v>0005660030</v>
      </c>
      <c r="C627" s="5" t="str">
        <f>"140215"</f>
        <v>140215</v>
      </c>
      <c r="D627" s="12" t="s">
        <v>685</v>
      </c>
      <c r="E627" s="14" t="s">
        <v>82</v>
      </c>
      <c r="F627" s="12" t="s">
        <v>73</v>
      </c>
      <c r="G627" s="15">
        <v>30</v>
      </c>
      <c r="H627" s="12" t="s">
        <v>680</v>
      </c>
      <c r="I627" s="12" t="s">
        <v>64</v>
      </c>
      <c r="K627" s="16">
        <v>6.55</v>
      </c>
      <c r="L627" s="16">
        <v>10.45</v>
      </c>
      <c r="M627" s="16">
        <v>11.95</v>
      </c>
    </row>
    <row r="628" spans="1:13" outlineLevel="2" x14ac:dyDescent="0.2"/>
    <row r="629" spans="1:13" outlineLevel="3" x14ac:dyDescent="0.2">
      <c r="B629" s="4" t="str">
        <f t="shared" ref="B629:B635" si="19">"0005660100"</f>
        <v>0005660100</v>
      </c>
      <c r="C629" s="5" t="str">
        <f>"005926"</f>
        <v>005926</v>
      </c>
      <c r="D629" s="12" t="s">
        <v>679</v>
      </c>
      <c r="E629" s="14" t="s">
        <v>82</v>
      </c>
      <c r="F629" s="12" t="s">
        <v>73</v>
      </c>
      <c r="G629" s="15">
        <v>98</v>
      </c>
      <c r="H629" s="12" t="s">
        <v>680</v>
      </c>
      <c r="I629" s="12" t="s">
        <v>240</v>
      </c>
      <c r="K629" s="16">
        <v>10.62</v>
      </c>
      <c r="L629" s="16">
        <v>16.79</v>
      </c>
      <c r="M629" s="16">
        <v>11.55</v>
      </c>
    </row>
    <row r="630" spans="1:13" ht="22.5" outlineLevel="3" x14ac:dyDescent="0.2">
      <c r="B630" s="4" t="str">
        <f t="shared" si="19"/>
        <v>0005660100</v>
      </c>
      <c r="C630" s="5" t="str">
        <f>"017218"</f>
        <v>017218</v>
      </c>
      <c r="D630" s="12" t="s">
        <v>681</v>
      </c>
      <c r="E630" s="14" t="s">
        <v>82</v>
      </c>
      <c r="F630" s="12" t="s">
        <v>73</v>
      </c>
      <c r="G630" s="15">
        <v>100</v>
      </c>
      <c r="H630" s="12" t="s">
        <v>680</v>
      </c>
      <c r="I630" s="12" t="s">
        <v>68</v>
      </c>
      <c r="K630" s="16">
        <v>7.24</v>
      </c>
      <c r="L630" s="16">
        <v>11.55</v>
      </c>
      <c r="M630" s="16">
        <v>11.55</v>
      </c>
    </row>
    <row r="631" spans="1:13" ht="22.5" outlineLevel="3" x14ac:dyDescent="0.2">
      <c r="B631" s="4" t="str">
        <f t="shared" si="19"/>
        <v>0005660100</v>
      </c>
      <c r="C631" s="5" t="str">
        <f>"031814"</f>
        <v>031814</v>
      </c>
      <c r="D631" s="12" t="s">
        <v>682</v>
      </c>
      <c r="E631" s="14" t="s">
        <v>82</v>
      </c>
      <c r="F631" s="12" t="s">
        <v>73</v>
      </c>
      <c r="G631" s="15">
        <v>98</v>
      </c>
      <c r="H631" s="12" t="s">
        <v>680</v>
      </c>
      <c r="I631" s="12" t="s">
        <v>104</v>
      </c>
      <c r="K631" s="16">
        <v>7.24</v>
      </c>
      <c r="L631" s="16">
        <v>11.55</v>
      </c>
      <c r="M631" s="16">
        <v>11.55</v>
      </c>
    </row>
    <row r="632" spans="1:13" outlineLevel="3" x14ac:dyDescent="0.2">
      <c r="B632" s="4" t="str">
        <f t="shared" si="19"/>
        <v>0005660100</v>
      </c>
      <c r="C632" s="5" t="str">
        <f>"086634"</f>
        <v>086634</v>
      </c>
      <c r="D632" s="12" t="s">
        <v>683</v>
      </c>
      <c r="E632" s="14" t="s">
        <v>82</v>
      </c>
      <c r="F632" s="12" t="s">
        <v>73</v>
      </c>
      <c r="G632" s="15">
        <v>100</v>
      </c>
      <c r="H632" s="12" t="s">
        <v>680</v>
      </c>
      <c r="I632" s="12" t="s">
        <v>30</v>
      </c>
      <c r="K632" s="16">
        <v>7.24</v>
      </c>
      <c r="L632" s="16">
        <v>11.55</v>
      </c>
      <c r="M632" s="16">
        <v>11.55</v>
      </c>
    </row>
    <row r="633" spans="1:13" outlineLevel="3" x14ac:dyDescent="0.2">
      <c r="B633" s="4" t="str">
        <f t="shared" si="19"/>
        <v>0005660100</v>
      </c>
      <c r="C633" s="5" t="str">
        <f>"161495"</f>
        <v>161495</v>
      </c>
      <c r="D633" s="12" t="s">
        <v>684</v>
      </c>
      <c r="E633" s="14" t="s">
        <v>82</v>
      </c>
      <c r="F633" s="12" t="s">
        <v>73</v>
      </c>
      <c r="G633" s="15">
        <v>100</v>
      </c>
      <c r="H633" s="12" t="s">
        <v>680</v>
      </c>
      <c r="I633" s="12" t="s">
        <v>5</v>
      </c>
      <c r="K633" s="16">
        <v>7.24</v>
      </c>
      <c r="L633" s="16">
        <v>11.55</v>
      </c>
      <c r="M633" s="16">
        <v>11.55</v>
      </c>
    </row>
    <row r="634" spans="1:13" outlineLevel="3" x14ac:dyDescent="0.2">
      <c r="B634" s="4" t="str">
        <f t="shared" si="19"/>
        <v>0005660100</v>
      </c>
      <c r="C634" s="5" t="str">
        <f>"470332"</f>
        <v>470332</v>
      </c>
      <c r="D634" s="12" t="s">
        <v>686</v>
      </c>
      <c r="E634" s="14" t="s">
        <v>82</v>
      </c>
      <c r="F634" s="12" t="s">
        <v>73</v>
      </c>
      <c r="G634" s="15">
        <v>100</v>
      </c>
      <c r="H634" s="12" t="s">
        <v>680</v>
      </c>
      <c r="I634" s="12" t="s">
        <v>70</v>
      </c>
      <c r="K634" s="16">
        <v>7.24</v>
      </c>
      <c r="L634" s="16">
        <v>11.55</v>
      </c>
      <c r="M634" s="16">
        <v>11.55</v>
      </c>
    </row>
    <row r="635" spans="1:13" outlineLevel="3" x14ac:dyDescent="0.2">
      <c r="B635" s="4" t="str">
        <f t="shared" si="19"/>
        <v>0005660100</v>
      </c>
      <c r="C635" s="5" t="str">
        <f>"131620"</f>
        <v>131620</v>
      </c>
      <c r="D635" s="12" t="s">
        <v>685</v>
      </c>
      <c r="E635" s="14" t="s">
        <v>82</v>
      </c>
      <c r="F635" s="12" t="s">
        <v>73</v>
      </c>
      <c r="G635" s="15">
        <v>100</v>
      </c>
      <c r="H635" s="12" t="s">
        <v>680</v>
      </c>
      <c r="I635" s="12" t="s">
        <v>64</v>
      </c>
      <c r="K635" s="16">
        <v>6.3</v>
      </c>
      <c r="L635" s="16">
        <v>10.050000000000001</v>
      </c>
      <c r="M635" s="16">
        <v>11.55</v>
      </c>
    </row>
    <row r="636" spans="1:13" outlineLevel="2" x14ac:dyDescent="0.2"/>
    <row r="637" spans="1:13" outlineLevel="3" x14ac:dyDescent="0.2">
      <c r="B637" s="4" t="str">
        <f>"0005660250"</f>
        <v>0005660250</v>
      </c>
      <c r="C637" s="5" t="str">
        <f>"029021"</f>
        <v>029021</v>
      </c>
      <c r="D637" s="12" t="s">
        <v>686</v>
      </c>
      <c r="E637" s="14" t="s">
        <v>82</v>
      </c>
      <c r="F637" s="12" t="s">
        <v>73</v>
      </c>
      <c r="G637" s="15">
        <v>250</v>
      </c>
      <c r="H637" s="12" t="s">
        <v>680</v>
      </c>
      <c r="I637" s="12" t="s">
        <v>70</v>
      </c>
      <c r="J637" s="2" t="s">
        <v>1400</v>
      </c>
      <c r="K637" s="16" t="s">
        <v>1401</v>
      </c>
      <c r="L637" s="16" t="s">
        <v>1401</v>
      </c>
      <c r="M637" s="16">
        <v>28.7</v>
      </c>
    </row>
    <row r="638" spans="1:13" outlineLevel="3" x14ac:dyDescent="0.2">
      <c r="B638" s="4" t="str">
        <f>"0005660250"</f>
        <v>0005660250</v>
      </c>
      <c r="C638" s="5" t="str">
        <f>"400592"</f>
        <v>400592</v>
      </c>
      <c r="D638" s="12" t="s">
        <v>684</v>
      </c>
      <c r="E638" s="14" t="s">
        <v>82</v>
      </c>
      <c r="F638" s="12" t="s">
        <v>73</v>
      </c>
      <c r="G638" s="15">
        <v>250</v>
      </c>
      <c r="H638" s="12" t="s">
        <v>680</v>
      </c>
      <c r="I638" s="12" t="s">
        <v>5</v>
      </c>
      <c r="K638" s="16">
        <v>17.64</v>
      </c>
      <c r="L638" s="16">
        <v>27.2</v>
      </c>
      <c r="M638" s="16">
        <v>28.7</v>
      </c>
    </row>
    <row r="639" spans="1:13" outlineLevel="1" x14ac:dyDescent="0.2">
      <c r="A639" s="3"/>
    </row>
    <row r="640" spans="1:13" outlineLevel="2" x14ac:dyDescent="0.2">
      <c r="A640" s="3" t="s">
        <v>1437</v>
      </c>
    </row>
    <row r="641" spans="2:13" outlineLevel="3" x14ac:dyDescent="0.2">
      <c r="B641" s="4" t="str">
        <f>"0004640030"</f>
        <v>0004640030</v>
      </c>
      <c r="C641" s="5" t="str">
        <f>"010550"</f>
        <v>010550</v>
      </c>
      <c r="D641" s="12" t="s">
        <v>597</v>
      </c>
      <c r="E641" s="14" t="s">
        <v>136</v>
      </c>
      <c r="F641" s="12" t="s">
        <v>441</v>
      </c>
      <c r="G641" s="15">
        <v>30</v>
      </c>
      <c r="H641" s="12" t="s">
        <v>598</v>
      </c>
      <c r="I641" s="12" t="s">
        <v>5</v>
      </c>
      <c r="K641" s="16">
        <v>8.1</v>
      </c>
      <c r="L641" s="16">
        <v>12.93</v>
      </c>
      <c r="M641" s="16">
        <v>14.43</v>
      </c>
    </row>
    <row r="642" spans="2:13" outlineLevel="2" x14ac:dyDescent="0.2"/>
    <row r="643" spans="2:13" outlineLevel="3" x14ac:dyDescent="0.2">
      <c r="B643" s="4" t="str">
        <f>"0004640100"</f>
        <v>0004640100</v>
      </c>
      <c r="C643" s="5" t="str">
        <f>"093062"</f>
        <v>093062</v>
      </c>
      <c r="D643" s="12" t="s">
        <v>600</v>
      </c>
      <c r="E643" s="14" t="s">
        <v>136</v>
      </c>
      <c r="F643" s="12" t="s">
        <v>441</v>
      </c>
      <c r="G643" s="15">
        <v>98</v>
      </c>
      <c r="H643" s="12" t="s">
        <v>598</v>
      </c>
      <c r="I643" s="12" t="s">
        <v>22</v>
      </c>
      <c r="K643" s="16">
        <v>33.520000000000003</v>
      </c>
      <c r="L643" s="16">
        <v>50.79</v>
      </c>
      <c r="M643" s="16">
        <v>41.12</v>
      </c>
    </row>
    <row r="644" spans="2:13" outlineLevel="3" x14ac:dyDescent="0.2">
      <c r="B644" s="4" t="str">
        <f>"0004640100"</f>
        <v>0004640100</v>
      </c>
      <c r="C644" s="5" t="str">
        <f>"486624"</f>
        <v>486624</v>
      </c>
      <c r="D644" s="12" t="s">
        <v>597</v>
      </c>
      <c r="E644" s="14" t="s">
        <v>136</v>
      </c>
      <c r="F644" s="12" t="s">
        <v>441</v>
      </c>
      <c r="G644" s="15">
        <v>100</v>
      </c>
      <c r="H644" s="12" t="s">
        <v>598</v>
      </c>
      <c r="I644" s="12" t="s">
        <v>5</v>
      </c>
      <c r="K644" s="16">
        <v>27.01</v>
      </c>
      <c r="L644" s="16">
        <v>41.12</v>
      </c>
      <c r="M644" s="16">
        <v>41.12</v>
      </c>
    </row>
    <row r="645" spans="2:13" outlineLevel="3" x14ac:dyDescent="0.2">
      <c r="B645" s="4" t="str">
        <f>"0004640100"</f>
        <v>0004640100</v>
      </c>
      <c r="C645" s="5" t="str">
        <f>"030309"</f>
        <v>030309</v>
      </c>
      <c r="D645" s="12" t="s">
        <v>599</v>
      </c>
      <c r="E645" s="14" t="s">
        <v>136</v>
      </c>
      <c r="F645" s="12" t="s">
        <v>441</v>
      </c>
      <c r="G645" s="15">
        <v>100</v>
      </c>
      <c r="H645" s="12" t="s">
        <v>598</v>
      </c>
      <c r="I645" s="12" t="s">
        <v>62</v>
      </c>
      <c r="K645" s="16">
        <v>27</v>
      </c>
      <c r="L645" s="16">
        <v>41.11</v>
      </c>
      <c r="M645" s="16">
        <v>41.12</v>
      </c>
    </row>
    <row r="646" spans="2:13" outlineLevel="3" x14ac:dyDescent="0.2">
      <c r="B646" s="4" t="str">
        <f>"0004640100"</f>
        <v>0004640100</v>
      </c>
      <c r="C646" s="5" t="str">
        <f>"040742"</f>
        <v>040742</v>
      </c>
      <c r="D646" s="12" t="s">
        <v>597</v>
      </c>
      <c r="E646" s="14" t="s">
        <v>136</v>
      </c>
      <c r="F646" s="12" t="s">
        <v>441</v>
      </c>
      <c r="G646" s="15">
        <v>100</v>
      </c>
      <c r="H646" s="12" t="s">
        <v>598</v>
      </c>
      <c r="I646" s="12" t="s">
        <v>5</v>
      </c>
      <c r="K646" s="16">
        <v>26</v>
      </c>
      <c r="L646" s="16">
        <v>39.619999999999997</v>
      </c>
      <c r="M646" s="16">
        <v>41.12</v>
      </c>
    </row>
    <row r="647" spans="2:13" outlineLevel="2" x14ac:dyDescent="0.2"/>
    <row r="648" spans="2:13" outlineLevel="3" x14ac:dyDescent="0.2">
      <c r="B648" s="4" t="str">
        <f>"0004650030"</f>
        <v>0004650030</v>
      </c>
      <c r="C648" s="5" t="str">
        <f>"010936"</f>
        <v>010936</v>
      </c>
      <c r="D648" s="12" t="s">
        <v>597</v>
      </c>
      <c r="E648" s="14" t="s">
        <v>111</v>
      </c>
      <c r="F648" s="12" t="s">
        <v>441</v>
      </c>
      <c r="G648" s="15">
        <v>30</v>
      </c>
      <c r="H648" s="12" t="s">
        <v>598</v>
      </c>
      <c r="I648" s="12" t="s">
        <v>5</v>
      </c>
      <c r="K648" s="16">
        <v>10.32</v>
      </c>
      <c r="L648" s="16">
        <v>16.34</v>
      </c>
      <c r="M648" s="16">
        <v>17.84</v>
      </c>
    </row>
    <row r="649" spans="2:13" outlineLevel="3" x14ac:dyDescent="0.2">
      <c r="B649" s="4" t="str">
        <f>"0004650030"</f>
        <v>0004650030</v>
      </c>
      <c r="C649" s="5" t="str">
        <f>"011897"</f>
        <v>011897</v>
      </c>
      <c r="D649" s="12" t="s">
        <v>599</v>
      </c>
      <c r="E649" s="14" t="s">
        <v>111</v>
      </c>
      <c r="F649" s="12" t="s">
        <v>441</v>
      </c>
      <c r="G649" s="15">
        <v>30</v>
      </c>
      <c r="H649" s="12" t="s">
        <v>598</v>
      </c>
      <c r="I649" s="12" t="s">
        <v>62</v>
      </c>
      <c r="K649" s="16">
        <v>10.32</v>
      </c>
      <c r="L649" s="16">
        <v>16.34</v>
      </c>
      <c r="M649" s="16">
        <v>17.84</v>
      </c>
    </row>
    <row r="650" spans="2:13" outlineLevel="2" x14ac:dyDescent="0.2"/>
    <row r="651" spans="2:13" outlineLevel="3" x14ac:dyDescent="0.2">
      <c r="B651" s="4" t="str">
        <f>"0004650100"</f>
        <v>0004650100</v>
      </c>
      <c r="C651" s="5" t="str">
        <f>"471441"</f>
        <v>471441</v>
      </c>
      <c r="D651" s="12" t="s">
        <v>600</v>
      </c>
      <c r="E651" s="14" t="s">
        <v>111</v>
      </c>
      <c r="F651" s="12" t="s">
        <v>441</v>
      </c>
      <c r="G651" s="15">
        <v>98</v>
      </c>
      <c r="H651" s="12" t="s">
        <v>598</v>
      </c>
      <c r="I651" s="12" t="s">
        <v>22</v>
      </c>
      <c r="K651" s="16">
        <v>33.14</v>
      </c>
      <c r="L651" s="16">
        <v>50.23</v>
      </c>
      <c r="M651" s="16">
        <v>40.200000000000003</v>
      </c>
    </row>
    <row r="652" spans="2:13" outlineLevel="3" x14ac:dyDescent="0.2">
      <c r="B652" s="4" t="str">
        <f>"0004650100"</f>
        <v>0004650100</v>
      </c>
      <c r="C652" s="5" t="str">
        <f>"010947"</f>
        <v>010947</v>
      </c>
      <c r="D652" s="12" t="s">
        <v>597</v>
      </c>
      <c r="E652" s="14" t="s">
        <v>111</v>
      </c>
      <c r="F652" s="12" t="s">
        <v>441</v>
      </c>
      <c r="G652" s="15" t="s">
        <v>123</v>
      </c>
      <c r="H652" s="12" t="s">
        <v>598</v>
      </c>
      <c r="I652" s="12" t="s">
        <v>5</v>
      </c>
      <c r="K652" s="16">
        <v>25.38</v>
      </c>
      <c r="L652" s="16">
        <v>38.700000000000003</v>
      </c>
      <c r="M652" s="16">
        <v>40.200000000000003</v>
      </c>
    </row>
    <row r="653" spans="2:13" ht="22.5" outlineLevel="3" x14ac:dyDescent="0.2">
      <c r="B653" s="4" t="str">
        <f>"0004650100"</f>
        <v>0004650100</v>
      </c>
      <c r="C653" s="5" t="str">
        <f>"011978"</f>
        <v>011978</v>
      </c>
      <c r="D653" s="12" t="s">
        <v>601</v>
      </c>
      <c r="E653" s="14" t="s">
        <v>111</v>
      </c>
      <c r="F653" s="12" t="s">
        <v>441</v>
      </c>
      <c r="G653" s="15">
        <v>98</v>
      </c>
      <c r="H653" s="12" t="s">
        <v>598</v>
      </c>
      <c r="I653" s="12" t="s">
        <v>68</v>
      </c>
      <c r="K653" s="16">
        <v>25.38</v>
      </c>
      <c r="L653" s="16">
        <v>38.700000000000003</v>
      </c>
      <c r="M653" s="16">
        <v>40.200000000000003</v>
      </c>
    </row>
    <row r="654" spans="2:13" outlineLevel="3" x14ac:dyDescent="0.2">
      <c r="B654" s="4" t="str">
        <f>"0004650100"</f>
        <v>0004650100</v>
      </c>
      <c r="C654" s="5" t="str">
        <f>"012109"</f>
        <v>012109</v>
      </c>
      <c r="D654" s="12" t="s">
        <v>599</v>
      </c>
      <c r="E654" s="14" t="s">
        <v>111</v>
      </c>
      <c r="F654" s="12" t="s">
        <v>441</v>
      </c>
      <c r="G654" s="15">
        <v>100</v>
      </c>
      <c r="H654" s="12" t="s">
        <v>598</v>
      </c>
      <c r="I654" s="12" t="s">
        <v>62</v>
      </c>
      <c r="K654" s="16">
        <v>25.38</v>
      </c>
      <c r="L654" s="16">
        <v>38.700000000000003</v>
      </c>
      <c r="M654" s="16">
        <v>40.200000000000003</v>
      </c>
    </row>
    <row r="655" spans="2:13" outlineLevel="3" x14ac:dyDescent="0.2">
      <c r="B655" s="4" t="str">
        <f>"0004650100"</f>
        <v>0004650100</v>
      </c>
      <c r="C655" s="5" t="str">
        <f>"557982"</f>
        <v>557982</v>
      </c>
      <c r="D655" s="12" t="s">
        <v>597</v>
      </c>
      <c r="E655" s="14" t="s">
        <v>111</v>
      </c>
      <c r="F655" s="12" t="s">
        <v>441</v>
      </c>
      <c r="G655" s="15">
        <v>100</v>
      </c>
      <c r="H655" s="12" t="s">
        <v>598</v>
      </c>
      <c r="I655" s="12" t="s">
        <v>5</v>
      </c>
      <c r="K655" s="16">
        <v>25.38</v>
      </c>
      <c r="L655" s="16">
        <v>38.700000000000003</v>
      </c>
      <c r="M655" s="16">
        <v>40.200000000000003</v>
      </c>
    </row>
    <row r="656" spans="2:13" outlineLevel="2" x14ac:dyDescent="0.2"/>
    <row r="657" spans="1:13" outlineLevel="3" x14ac:dyDescent="0.2">
      <c r="B657" s="4" t="str">
        <f>"0007470030"</f>
        <v>0007470030</v>
      </c>
      <c r="C657" s="5" t="str">
        <f>"010969"</f>
        <v>010969</v>
      </c>
      <c r="D657" s="12" t="s">
        <v>597</v>
      </c>
      <c r="E657" s="14" t="s">
        <v>82</v>
      </c>
      <c r="F657" s="12" t="s">
        <v>441</v>
      </c>
      <c r="G657" s="15">
        <v>30</v>
      </c>
      <c r="H657" s="12" t="s">
        <v>598</v>
      </c>
      <c r="I657" s="12" t="s">
        <v>5</v>
      </c>
      <c r="K657" s="16">
        <v>13.15</v>
      </c>
      <c r="L657" s="16">
        <v>20.54</v>
      </c>
      <c r="M657" s="16">
        <v>22.04</v>
      </c>
    </row>
    <row r="658" spans="1:13" outlineLevel="3" x14ac:dyDescent="0.2">
      <c r="B658" s="4" t="str">
        <f>"0007470030"</f>
        <v>0007470030</v>
      </c>
      <c r="C658" s="5" t="str">
        <f>"012123"</f>
        <v>012123</v>
      </c>
      <c r="D658" s="12" t="s">
        <v>599</v>
      </c>
      <c r="E658" s="14" t="s">
        <v>82</v>
      </c>
      <c r="F658" s="12" t="s">
        <v>441</v>
      </c>
      <c r="G658" s="15">
        <v>30</v>
      </c>
      <c r="H658" s="12" t="s">
        <v>598</v>
      </c>
      <c r="I658" s="12" t="s">
        <v>62</v>
      </c>
      <c r="K658" s="16">
        <v>13.15</v>
      </c>
      <c r="L658" s="16">
        <v>20.54</v>
      </c>
      <c r="M658" s="16">
        <v>22.04</v>
      </c>
    </row>
    <row r="659" spans="1:13" outlineLevel="2" x14ac:dyDescent="0.2"/>
    <row r="660" spans="1:13" outlineLevel="3" x14ac:dyDescent="0.2">
      <c r="B660" s="4" t="str">
        <f>"0007470100"</f>
        <v>0007470100</v>
      </c>
      <c r="C660" s="5" t="str">
        <f>"471466"</f>
        <v>471466</v>
      </c>
      <c r="D660" s="12" t="s">
        <v>600</v>
      </c>
      <c r="E660" s="14" t="s">
        <v>82</v>
      </c>
      <c r="F660" s="12" t="s">
        <v>441</v>
      </c>
      <c r="G660" s="15">
        <v>98</v>
      </c>
      <c r="H660" s="12" t="s">
        <v>598</v>
      </c>
      <c r="I660" s="12" t="s">
        <v>22</v>
      </c>
      <c r="K660" s="16">
        <v>41.89</v>
      </c>
      <c r="L660" s="16">
        <v>63.22</v>
      </c>
      <c r="M660" s="16">
        <v>42.18</v>
      </c>
    </row>
    <row r="661" spans="1:13" outlineLevel="3" x14ac:dyDescent="0.2">
      <c r="B661" s="4" t="str">
        <f>"0007470100"</f>
        <v>0007470100</v>
      </c>
      <c r="C661" s="5" t="str">
        <f>"010980"</f>
        <v>010980</v>
      </c>
      <c r="D661" s="12" t="s">
        <v>597</v>
      </c>
      <c r="E661" s="14" t="s">
        <v>82</v>
      </c>
      <c r="F661" s="12" t="s">
        <v>441</v>
      </c>
      <c r="G661" s="15">
        <v>100</v>
      </c>
      <c r="H661" s="12" t="s">
        <v>598</v>
      </c>
      <c r="I661" s="12" t="s">
        <v>5</v>
      </c>
      <c r="K661" s="16">
        <v>26.38</v>
      </c>
      <c r="L661" s="16">
        <v>40.18</v>
      </c>
      <c r="M661" s="16">
        <v>42.18</v>
      </c>
    </row>
    <row r="662" spans="1:13" ht="22.5" outlineLevel="3" x14ac:dyDescent="0.2">
      <c r="B662" s="4" t="str">
        <f>"0007470100"</f>
        <v>0007470100</v>
      </c>
      <c r="C662" s="5" t="str">
        <f>"011960"</f>
        <v>011960</v>
      </c>
      <c r="D662" s="12" t="s">
        <v>601</v>
      </c>
      <c r="E662" s="14" t="s">
        <v>82</v>
      </c>
      <c r="F662" s="12" t="s">
        <v>441</v>
      </c>
      <c r="G662" s="15">
        <v>98</v>
      </c>
      <c r="H662" s="12" t="s">
        <v>598</v>
      </c>
      <c r="I662" s="12" t="s">
        <v>68</v>
      </c>
      <c r="K662" s="16">
        <v>26.38</v>
      </c>
      <c r="L662" s="16">
        <v>40.18</v>
      </c>
      <c r="M662" s="16">
        <v>42.18</v>
      </c>
    </row>
    <row r="663" spans="1:13" outlineLevel="3" x14ac:dyDescent="0.2">
      <c r="B663" s="4" t="str">
        <f>"0007470100"</f>
        <v>0007470100</v>
      </c>
      <c r="C663" s="5" t="str">
        <f>"012131"</f>
        <v>012131</v>
      </c>
      <c r="D663" s="12" t="s">
        <v>599</v>
      </c>
      <c r="E663" s="14" t="s">
        <v>82</v>
      </c>
      <c r="F663" s="12" t="s">
        <v>441</v>
      </c>
      <c r="G663" s="15">
        <v>100</v>
      </c>
      <c r="H663" s="12" t="s">
        <v>598</v>
      </c>
      <c r="I663" s="12" t="s">
        <v>62</v>
      </c>
      <c r="K663" s="16">
        <v>26.38</v>
      </c>
      <c r="L663" s="16">
        <v>40.18</v>
      </c>
      <c r="M663" s="16">
        <v>42.18</v>
      </c>
    </row>
    <row r="664" spans="1:13" outlineLevel="3" x14ac:dyDescent="0.2">
      <c r="B664" s="4" t="str">
        <f>"0007470100"</f>
        <v>0007470100</v>
      </c>
      <c r="C664" s="5" t="str">
        <f>"044573"</f>
        <v>044573</v>
      </c>
      <c r="D664" s="12" t="s">
        <v>597</v>
      </c>
      <c r="E664" s="14" t="s">
        <v>82</v>
      </c>
      <c r="F664" s="12" t="s">
        <v>441</v>
      </c>
      <c r="G664" s="15">
        <v>100</v>
      </c>
      <c r="H664" s="12" t="s">
        <v>598</v>
      </c>
      <c r="I664" s="12" t="s">
        <v>5</v>
      </c>
      <c r="K664" s="16">
        <v>26.38</v>
      </c>
      <c r="L664" s="16">
        <v>40.18</v>
      </c>
      <c r="M664" s="16">
        <v>42.18</v>
      </c>
    </row>
    <row r="665" spans="1:13" outlineLevel="1" x14ac:dyDescent="0.2">
      <c r="A665" s="3"/>
    </row>
    <row r="666" spans="1:13" outlineLevel="2" x14ac:dyDescent="0.2">
      <c r="A666" s="3" t="s">
        <v>1438</v>
      </c>
    </row>
    <row r="667" spans="1:13" outlineLevel="3" x14ac:dyDescent="0.2">
      <c r="B667" s="4" t="str">
        <f>"0004690100"</f>
        <v>0004690100</v>
      </c>
      <c r="C667" s="5" t="str">
        <f>"117796"</f>
        <v>117796</v>
      </c>
      <c r="D667" s="12" t="s">
        <v>604</v>
      </c>
      <c r="E667" s="14" t="s">
        <v>31</v>
      </c>
      <c r="F667" s="12" t="s">
        <v>441</v>
      </c>
      <c r="G667" s="15">
        <v>98</v>
      </c>
      <c r="H667" s="12" t="s">
        <v>603</v>
      </c>
      <c r="I667" s="12" t="s">
        <v>325</v>
      </c>
      <c r="K667" s="16">
        <v>44.3</v>
      </c>
      <c r="L667" s="16">
        <v>66.8</v>
      </c>
      <c r="M667" s="16">
        <v>27.41</v>
      </c>
    </row>
    <row r="668" spans="1:13" outlineLevel="3" x14ac:dyDescent="0.2">
      <c r="B668" s="4" t="str">
        <f>"0004690100"</f>
        <v>0004690100</v>
      </c>
      <c r="C668" s="5" t="str">
        <f>"118067"</f>
        <v>118067</v>
      </c>
      <c r="D668" s="12" t="s">
        <v>604</v>
      </c>
      <c r="E668" s="14" t="s">
        <v>31</v>
      </c>
      <c r="F668" s="12" t="s">
        <v>441</v>
      </c>
      <c r="G668" s="15">
        <v>98</v>
      </c>
      <c r="H668" s="12" t="s">
        <v>603</v>
      </c>
      <c r="I668" s="12" t="s">
        <v>75</v>
      </c>
      <c r="K668" s="16">
        <v>17.7</v>
      </c>
      <c r="L668" s="16">
        <v>27.3</v>
      </c>
      <c r="M668" s="16">
        <v>27.41</v>
      </c>
    </row>
    <row r="669" spans="1:13" outlineLevel="3" x14ac:dyDescent="0.2">
      <c r="B669" s="4" t="str">
        <f>"0004690100"</f>
        <v>0004690100</v>
      </c>
      <c r="C669" s="5" t="str">
        <f>"101070"</f>
        <v>101070</v>
      </c>
      <c r="D669" s="12" t="s">
        <v>602</v>
      </c>
      <c r="E669" s="14" t="s">
        <v>31</v>
      </c>
      <c r="F669" s="12" t="s">
        <v>441</v>
      </c>
      <c r="G669" s="15">
        <v>100</v>
      </c>
      <c r="H669" s="12" t="s">
        <v>603</v>
      </c>
      <c r="I669" s="12" t="s">
        <v>408</v>
      </c>
      <c r="K669" s="16">
        <v>16.760000000000002</v>
      </c>
      <c r="L669" s="16">
        <v>25.91</v>
      </c>
      <c r="M669" s="16">
        <v>27.41</v>
      </c>
    </row>
    <row r="670" spans="1:13" outlineLevel="2" x14ac:dyDescent="0.2"/>
    <row r="671" spans="1:13" outlineLevel="3" x14ac:dyDescent="0.2">
      <c r="B671" s="4" t="str">
        <f>"0004700100"</f>
        <v>0004700100</v>
      </c>
      <c r="C671" s="5" t="str">
        <f>"117820"</f>
        <v>117820</v>
      </c>
      <c r="D671" s="12" t="s">
        <v>604</v>
      </c>
      <c r="E671" s="14" t="s">
        <v>605</v>
      </c>
      <c r="F671" s="12" t="s">
        <v>441</v>
      </c>
      <c r="G671" s="15">
        <v>98</v>
      </c>
      <c r="H671" s="12" t="s">
        <v>603</v>
      </c>
      <c r="I671" s="12" t="s">
        <v>325</v>
      </c>
      <c r="K671" s="16">
        <v>60.24</v>
      </c>
      <c r="L671" s="16">
        <v>88.92</v>
      </c>
      <c r="M671" s="16">
        <v>49.25</v>
      </c>
    </row>
    <row r="672" spans="1:13" outlineLevel="3" x14ac:dyDescent="0.2">
      <c r="B672" s="4" t="str">
        <f>"0004700100"</f>
        <v>0004700100</v>
      </c>
      <c r="C672" s="5" t="str">
        <f>"118083"</f>
        <v>118083</v>
      </c>
      <c r="D672" s="12" t="s">
        <v>604</v>
      </c>
      <c r="E672" s="14" t="s">
        <v>605</v>
      </c>
      <c r="F672" s="12" t="s">
        <v>441</v>
      </c>
      <c r="G672" s="15">
        <v>98</v>
      </c>
      <c r="H672" s="12" t="s">
        <v>603</v>
      </c>
      <c r="I672" s="12" t="s">
        <v>75</v>
      </c>
      <c r="K672" s="16">
        <v>32.380000000000003</v>
      </c>
      <c r="L672" s="16">
        <v>49.09</v>
      </c>
      <c r="M672" s="16">
        <v>49.25</v>
      </c>
    </row>
    <row r="673" spans="1:13" outlineLevel="3" x14ac:dyDescent="0.2">
      <c r="B673" s="4" t="str">
        <f>"0004700100"</f>
        <v>0004700100</v>
      </c>
      <c r="C673" s="5" t="str">
        <f>"101047"</f>
        <v>101047</v>
      </c>
      <c r="D673" s="12" t="s">
        <v>602</v>
      </c>
      <c r="E673" s="14" t="s">
        <v>605</v>
      </c>
      <c r="F673" s="12" t="s">
        <v>441</v>
      </c>
      <c r="G673" s="15">
        <v>100</v>
      </c>
      <c r="H673" s="12" t="s">
        <v>603</v>
      </c>
      <c r="I673" s="12" t="s">
        <v>408</v>
      </c>
      <c r="K673" s="16">
        <v>31.13</v>
      </c>
      <c r="L673" s="16">
        <v>47.25</v>
      </c>
      <c r="M673" s="16">
        <v>49.25</v>
      </c>
    </row>
    <row r="674" spans="1:13" outlineLevel="1" x14ac:dyDescent="0.2">
      <c r="A674" s="3"/>
    </row>
    <row r="675" spans="1:13" outlineLevel="2" x14ac:dyDescent="0.2">
      <c r="A675" s="3" t="s">
        <v>1439</v>
      </c>
    </row>
    <row r="676" spans="1:13" ht="33.75" outlineLevel="3" x14ac:dyDescent="0.2">
      <c r="B676" s="4" t="str">
        <f>"0007910030"</f>
        <v>0007910030</v>
      </c>
      <c r="C676" s="5" t="str">
        <f>"075845"</f>
        <v>075845</v>
      </c>
      <c r="D676" s="12" t="s">
        <v>856</v>
      </c>
      <c r="E676" s="14" t="s">
        <v>82</v>
      </c>
      <c r="F676" s="12" t="s">
        <v>3</v>
      </c>
      <c r="G676" s="15">
        <v>28</v>
      </c>
      <c r="H676" s="12" t="s">
        <v>857</v>
      </c>
      <c r="I676" s="12" t="s">
        <v>104</v>
      </c>
      <c r="K676" s="16">
        <v>6.12</v>
      </c>
      <c r="L676" s="16">
        <v>9.76</v>
      </c>
      <c r="M676" s="16">
        <v>11.26</v>
      </c>
    </row>
    <row r="677" spans="1:13" ht="33.75" outlineLevel="3" x14ac:dyDescent="0.2">
      <c r="B677" s="4" t="str">
        <f>"0007910030"</f>
        <v>0007910030</v>
      </c>
      <c r="C677" s="5" t="str">
        <f>"563569"</f>
        <v>563569</v>
      </c>
      <c r="D677" s="12" t="s">
        <v>858</v>
      </c>
      <c r="E677" s="14" t="s">
        <v>82</v>
      </c>
      <c r="F677" s="12" t="s">
        <v>3</v>
      </c>
      <c r="G677" s="15">
        <v>28</v>
      </c>
      <c r="H677" s="12" t="s">
        <v>857</v>
      </c>
      <c r="I677" s="12" t="s">
        <v>39</v>
      </c>
      <c r="K677" s="16">
        <v>6.12</v>
      </c>
      <c r="L677" s="16">
        <v>9.76</v>
      </c>
      <c r="M677" s="16">
        <v>11.26</v>
      </c>
    </row>
    <row r="678" spans="1:13" outlineLevel="2" x14ac:dyDescent="0.2"/>
    <row r="679" spans="1:13" ht="33.75" outlineLevel="3" x14ac:dyDescent="0.2">
      <c r="B679" s="4" t="str">
        <f>"0007910100"</f>
        <v>0007910100</v>
      </c>
      <c r="C679" s="5" t="str">
        <f>"075856"</f>
        <v>075856</v>
      </c>
      <c r="D679" s="12" t="s">
        <v>856</v>
      </c>
      <c r="E679" s="14" t="s">
        <v>82</v>
      </c>
      <c r="F679" s="12" t="s">
        <v>3</v>
      </c>
      <c r="G679" s="15">
        <v>98</v>
      </c>
      <c r="H679" s="12" t="s">
        <v>857</v>
      </c>
      <c r="I679" s="12" t="s">
        <v>104</v>
      </c>
      <c r="K679" s="16">
        <v>18.68</v>
      </c>
      <c r="L679" s="16">
        <v>28.75</v>
      </c>
      <c r="M679" s="16">
        <v>27.2</v>
      </c>
    </row>
    <row r="680" spans="1:13" ht="33.75" outlineLevel="3" x14ac:dyDescent="0.2">
      <c r="B680" s="4" t="str">
        <f>"0007910100"</f>
        <v>0007910100</v>
      </c>
      <c r="C680" s="5" t="str">
        <f>"585786"</f>
        <v>585786</v>
      </c>
      <c r="D680" s="12" t="s">
        <v>858</v>
      </c>
      <c r="E680" s="14" t="s">
        <v>82</v>
      </c>
      <c r="F680" s="12" t="s">
        <v>3</v>
      </c>
      <c r="G680" s="15">
        <v>98</v>
      </c>
      <c r="H680" s="12" t="s">
        <v>857</v>
      </c>
      <c r="I680" s="12" t="s">
        <v>39</v>
      </c>
      <c r="K680" s="16">
        <v>18.68</v>
      </c>
      <c r="L680" s="16">
        <v>28.75</v>
      </c>
      <c r="M680" s="16">
        <v>27.2</v>
      </c>
    </row>
    <row r="681" spans="1:13" ht="33.75" outlineLevel="3" x14ac:dyDescent="0.2">
      <c r="B681" s="4" t="str">
        <f>"0007910100"</f>
        <v>0007910100</v>
      </c>
      <c r="C681" s="5" t="str">
        <f>"057467"</f>
        <v>057467</v>
      </c>
      <c r="D681" s="12" t="s">
        <v>859</v>
      </c>
      <c r="E681" s="14" t="s">
        <v>82</v>
      </c>
      <c r="F681" s="12" t="s">
        <v>3</v>
      </c>
      <c r="G681" s="15">
        <v>98</v>
      </c>
      <c r="H681" s="12" t="s">
        <v>857</v>
      </c>
      <c r="I681" s="12" t="s">
        <v>68</v>
      </c>
      <c r="K681" s="16">
        <v>17.670000000000002</v>
      </c>
      <c r="L681" s="16">
        <v>27.25</v>
      </c>
      <c r="M681" s="16">
        <v>27.2</v>
      </c>
    </row>
    <row r="682" spans="1:13" ht="33.75" outlineLevel="3" x14ac:dyDescent="0.2">
      <c r="B682" s="4" t="str">
        <f>"0007910100"</f>
        <v>0007910100</v>
      </c>
      <c r="C682" s="5" t="str">
        <f>"460093"</f>
        <v>460093</v>
      </c>
      <c r="D682" s="12" t="s">
        <v>859</v>
      </c>
      <c r="E682" s="14" t="s">
        <v>82</v>
      </c>
      <c r="F682" s="12" t="s">
        <v>3</v>
      </c>
      <c r="G682" s="15">
        <v>100</v>
      </c>
      <c r="H682" s="12" t="s">
        <v>857</v>
      </c>
      <c r="I682" s="12" t="s">
        <v>75</v>
      </c>
      <c r="K682" s="16">
        <v>16.62</v>
      </c>
      <c r="L682" s="16">
        <v>25.7</v>
      </c>
      <c r="M682" s="16">
        <v>27.2</v>
      </c>
    </row>
    <row r="683" spans="1:13" outlineLevel="2" x14ac:dyDescent="0.2"/>
    <row r="684" spans="1:13" ht="33.75" outlineLevel="3" x14ac:dyDescent="0.2">
      <c r="B684" s="4" t="str">
        <f>"0008760030"</f>
        <v>0008760030</v>
      </c>
      <c r="C684" s="5" t="str">
        <f>"013399"</f>
        <v>013399</v>
      </c>
      <c r="D684" s="12" t="s">
        <v>858</v>
      </c>
      <c r="E684" s="14" t="s">
        <v>14</v>
      </c>
      <c r="F684" s="12" t="s">
        <v>3</v>
      </c>
      <c r="G684" s="15">
        <v>28</v>
      </c>
      <c r="H684" s="12" t="s">
        <v>857</v>
      </c>
      <c r="I684" s="12" t="s">
        <v>39</v>
      </c>
      <c r="K684" s="16">
        <v>11.11</v>
      </c>
      <c r="L684" s="16">
        <v>17.510000000000002</v>
      </c>
      <c r="M684" s="16">
        <v>19.010000000000002</v>
      </c>
    </row>
    <row r="685" spans="1:13" ht="33.75" outlineLevel="3" x14ac:dyDescent="0.2">
      <c r="B685" s="4" t="str">
        <f>"0008760030"</f>
        <v>0008760030</v>
      </c>
      <c r="C685" s="5" t="str">
        <f>"075867"</f>
        <v>075867</v>
      </c>
      <c r="D685" s="12" t="s">
        <v>856</v>
      </c>
      <c r="E685" s="14" t="s">
        <v>14</v>
      </c>
      <c r="F685" s="12" t="s">
        <v>3</v>
      </c>
      <c r="G685" s="15">
        <v>28</v>
      </c>
      <c r="H685" s="12" t="s">
        <v>857</v>
      </c>
      <c r="I685" s="12" t="s">
        <v>104</v>
      </c>
      <c r="K685" s="16">
        <v>11.11</v>
      </c>
      <c r="L685" s="16">
        <v>17.510000000000002</v>
      </c>
      <c r="M685" s="16">
        <v>19.010000000000002</v>
      </c>
    </row>
    <row r="686" spans="1:13" outlineLevel="2" x14ac:dyDescent="0.2"/>
    <row r="687" spans="1:13" ht="33.75" outlineLevel="3" x14ac:dyDescent="0.2">
      <c r="B687" s="4" t="str">
        <f>"0008760100"</f>
        <v>0008760100</v>
      </c>
      <c r="C687" s="5" t="str">
        <f>"013353"</f>
        <v>013353</v>
      </c>
      <c r="D687" s="12" t="s">
        <v>858</v>
      </c>
      <c r="E687" s="14" t="s">
        <v>14</v>
      </c>
      <c r="F687" s="12" t="s">
        <v>3</v>
      </c>
      <c r="G687" s="15">
        <v>98</v>
      </c>
      <c r="H687" s="12" t="s">
        <v>857</v>
      </c>
      <c r="I687" s="12" t="s">
        <v>39</v>
      </c>
      <c r="K687" s="16">
        <v>35.36</v>
      </c>
      <c r="L687" s="16">
        <v>53.53</v>
      </c>
      <c r="M687" s="16">
        <v>53.5</v>
      </c>
    </row>
    <row r="688" spans="1:13" ht="33.75" outlineLevel="3" x14ac:dyDescent="0.2">
      <c r="B688" s="4" t="str">
        <f>"0008760100"</f>
        <v>0008760100</v>
      </c>
      <c r="C688" s="5" t="str">
        <f>"057490"</f>
        <v>057490</v>
      </c>
      <c r="D688" s="12" t="s">
        <v>859</v>
      </c>
      <c r="E688" s="14" t="s">
        <v>14</v>
      </c>
      <c r="F688" s="12" t="s">
        <v>3</v>
      </c>
      <c r="G688" s="15">
        <v>98</v>
      </c>
      <c r="H688" s="12" t="s">
        <v>857</v>
      </c>
      <c r="I688" s="12" t="s">
        <v>68</v>
      </c>
      <c r="K688" s="16">
        <v>35.36</v>
      </c>
      <c r="L688" s="16">
        <v>53.53</v>
      </c>
      <c r="M688" s="16">
        <v>53.5</v>
      </c>
    </row>
    <row r="689" spans="1:13" ht="33.75" outlineLevel="3" x14ac:dyDescent="0.2">
      <c r="B689" s="4" t="str">
        <f>"0008760100"</f>
        <v>0008760100</v>
      </c>
      <c r="C689" s="5" t="str">
        <f>"075880"</f>
        <v>075880</v>
      </c>
      <c r="D689" s="12" t="s">
        <v>856</v>
      </c>
      <c r="E689" s="14" t="s">
        <v>14</v>
      </c>
      <c r="F689" s="12" t="s">
        <v>3</v>
      </c>
      <c r="G689" s="15">
        <v>98</v>
      </c>
      <c r="H689" s="12" t="s">
        <v>857</v>
      </c>
      <c r="I689" s="12" t="s">
        <v>104</v>
      </c>
      <c r="K689" s="16">
        <v>35.36</v>
      </c>
      <c r="L689" s="16">
        <v>53.53</v>
      </c>
      <c r="M689" s="16">
        <v>53.5</v>
      </c>
    </row>
    <row r="690" spans="1:13" ht="33.75" outlineLevel="3" x14ac:dyDescent="0.2">
      <c r="B690" s="4" t="str">
        <f>"0008760100"</f>
        <v>0008760100</v>
      </c>
      <c r="C690" s="5" t="str">
        <f>"090658"</f>
        <v>090658</v>
      </c>
      <c r="D690" s="12" t="s">
        <v>859</v>
      </c>
      <c r="E690" s="14" t="s">
        <v>14</v>
      </c>
      <c r="F690" s="12" t="s">
        <v>3</v>
      </c>
      <c r="G690" s="15">
        <v>100</v>
      </c>
      <c r="H690" s="12" t="s">
        <v>857</v>
      </c>
      <c r="I690" s="12" t="s">
        <v>75</v>
      </c>
      <c r="K690" s="16">
        <v>34</v>
      </c>
      <c r="L690" s="16">
        <v>51.5</v>
      </c>
      <c r="M690" s="16">
        <v>53.5</v>
      </c>
    </row>
    <row r="691" spans="1:13" outlineLevel="1" x14ac:dyDescent="0.2">
      <c r="A691" s="3"/>
    </row>
    <row r="692" spans="1:13" outlineLevel="2" x14ac:dyDescent="0.2">
      <c r="A692" s="3" t="s">
        <v>1440</v>
      </c>
    </row>
    <row r="693" spans="1:13" outlineLevel="3" x14ac:dyDescent="0.2">
      <c r="B693" s="4" t="str">
        <f>"0000950030"</f>
        <v>0000950030</v>
      </c>
      <c r="C693" s="5" t="str">
        <f>"565861"</f>
        <v>565861</v>
      </c>
      <c r="D693" s="12" t="s">
        <v>161</v>
      </c>
      <c r="E693" s="14" t="s">
        <v>82</v>
      </c>
      <c r="F693" s="12" t="s">
        <v>73</v>
      </c>
      <c r="G693" s="15">
        <v>30</v>
      </c>
      <c r="H693" s="12" t="s">
        <v>162</v>
      </c>
      <c r="I693" s="12" t="s">
        <v>62</v>
      </c>
      <c r="J693" s="2" t="s">
        <v>1400</v>
      </c>
      <c r="K693" s="16">
        <v>4.18</v>
      </c>
      <c r="L693" s="16">
        <v>6.67</v>
      </c>
      <c r="M693" s="16">
        <v>8.17</v>
      </c>
    </row>
    <row r="694" spans="1:13" outlineLevel="3" x14ac:dyDescent="0.2">
      <c r="B694" s="4" t="str">
        <f>"0000950030"</f>
        <v>0000950030</v>
      </c>
      <c r="C694" s="5" t="str">
        <f>"000096"</f>
        <v>000096</v>
      </c>
      <c r="D694" s="12" t="s">
        <v>163</v>
      </c>
      <c r="E694" s="14" t="s">
        <v>82</v>
      </c>
      <c r="F694" s="12" t="s">
        <v>73</v>
      </c>
      <c r="G694" s="15">
        <v>30</v>
      </c>
      <c r="H694" s="12" t="s">
        <v>162</v>
      </c>
      <c r="I694" s="12" t="s">
        <v>6</v>
      </c>
      <c r="K694" s="16">
        <v>4.18</v>
      </c>
      <c r="L694" s="16">
        <v>6.67</v>
      </c>
      <c r="M694" s="16">
        <v>8.17</v>
      </c>
    </row>
    <row r="695" spans="1:13" outlineLevel="3" x14ac:dyDescent="0.2">
      <c r="B695" s="4" t="str">
        <f>"0000950030"</f>
        <v>0000950030</v>
      </c>
      <c r="C695" s="5" t="str">
        <f>"023710"</f>
        <v>023710</v>
      </c>
      <c r="D695" s="12" t="s">
        <v>164</v>
      </c>
      <c r="E695" s="14" t="s">
        <v>82</v>
      </c>
      <c r="F695" s="12" t="s">
        <v>73</v>
      </c>
      <c r="G695" s="15">
        <v>30</v>
      </c>
      <c r="H695" s="12" t="s">
        <v>162</v>
      </c>
      <c r="I695" s="12" t="s">
        <v>30</v>
      </c>
      <c r="K695" s="16">
        <v>4.18</v>
      </c>
      <c r="L695" s="16">
        <v>6.67</v>
      </c>
      <c r="M695" s="16">
        <v>8.17</v>
      </c>
    </row>
    <row r="696" spans="1:13" outlineLevel="3" x14ac:dyDescent="0.2">
      <c r="B696" s="4" t="str">
        <f>"0000950030"</f>
        <v>0000950030</v>
      </c>
      <c r="C696" s="5" t="str">
        <f>"126125"</f>
        <v>126125</v>
      </c>
      <c r="D696" s="12" t="s">
        <v>165</v>
      </c>
      <c r="E696" s="14" t="s">
        <v>82</v>
      </c>
      <c r="F696" s="12" t="s">
        <v>73</v>
      </c>
      <c r="G696" s="15">
        <v>30</v>
      </c>
      <c r="H696" s="12" t="s">
        <v>162</v>
      </c>
      <c r="I696" s="12" t="s">
        <v>28</v>
      </c>
      <c r="K696" s="16">
        <v>4.18</v>
      </c>
      <c r="L696" s="16">
        <v>6.67</v>
      </c>
      <c r="M696" s="16">
        <v>8.17</v>
      </c>
    </row>
    <row r="697" spans="1:13" outlineLevel="3" x14ac:dyDescent="0.2">
      <c r="B697" s="4" t="str">
        <f>"0000950030"</f>
        <v>0000950030</v>
      </c>
      <c r="C697" s="5" t="str">
        <f>"129813"</f>
        <v>129813</v>
      </c>
      <c r="D697" s="12" t="s">
        <v>166</v>
      </c>
      <c r="E697" s="14" t="s">
        <v>82</v>
      </c>
      <c r="F697" s="12" t="s">
        <v>73</v>
      </c>
      <c r="G697" s="15">
        <v>30</v>
      </c>
      <c r="H697" s="12" t="s">
        <v>162</v>
      </c>
      <c r="I697" s="12" t="s">
        <v>124</v>
      </c>
      <c r="K697" s="16">
        <v>4.18</v>
      </c>
      <c r="L697" s="16">
        <v>6.67</v>
      </c>
      <c r="M697" s="16">
        <v>8.17</v>
      </c>
    </row>
    <row r="698" spans="1:13" ht="22.5" outlineLevel="3" x14ac:dyDescent="0.2">
      <c r="B698" s="4" t="str">
        <f t="shared" ref="B698:B705" si="20">"0000950100"</f>
        <v>0000950100</v>
      </c>
      <c r="C698" s="5" t="str">
        <f>"459099"</f>
        <v>459099</v>
      </c>
      <c r="D698" s="12" t="s">
        <v>169</v>
      </c>
      <c r="E698" s="14" t="s">
        <v>82</v>
      </c>
      <c r="F698" s="12" t="s">
        <v>73</v>
      </c>
      <c r="G698" s="15">
        <v>98</v>
      </c>
      <c r="H698" s="12" t="s">
        <v>162</v>
      </c>
      <c r="I698" s="12" t="s">
        <v>170</v>
      </c>
      <c r="K698" s="16">
        <v>8.8800000000000008</v>
      </c>
      <c r="L698" s="16">
        <v>14.17</v>
      </c>
      <c r="M698" s="16">
        <v>10.99</v>
      </c>
    </row>
    <row r="699" spans="1:13" outlineLevel="3" x14ac:dyDescent="0.2">
      <c r="B699" s="4" t="str">
        <f t="shared" si="20"/>
        <v>0000950100</v>
      </c>
      <c r="C699" s="5" t="str">
        <f>"002826"</f>
        <v>002826</v>
      </c>
      <c r="D699" s="12" t="s">
        <v>167</v>
      </c>
      <c r="E699" s="14" t="s">
        <v>82</v>
      </c>
      <c r="F699" s="12" t="s">
        <v>73</v>
      </c>
      <c r="G699" s="15">
        <v>100</v>
      </c>
      <c r="H699" s="12" t="s">
        <v>162</v>
      </c>
      <c r="I699" s="12" t="s">
        <v>11</v>
      </c>
      <c r="J699" s="2" t="s">
        <v>1400</v>
      </c>
      <c r="K699" s="16">
        <v>6.89</v>
      </c>
      <c r="L699" s="16">
        <v>10.99</v>
      </c>
      <c r="M699" s="16">
        <v>10.99</v>
      </c>
    </row>
    <row r="700" spans="1:13" outlineLevel="3" x14ac:dyDescent="0.2">
      <c r="B700" s="4" t="str">
        <f t="shared" si="20"/>
        <v>0000950100</v>
      </c>
      <c r="C700" s="5" t="str">
        <f>"589028"</f>
        <v>589028</v>
      </c>
      <c r="D700" s="12" t="s">
        <v>161</v>
      </c>
      <c r="E700" s="14" t="s">
        <v>82</v>
      </c>
      <c r="F700" s="12" t="s">
        <v>73</v>
      </c>
      <c r="G700" s="15">
        <v>100</v>
      </c>
      <c r="H700" s="12" t="s">
        <v>162</v>
      </c>
      <c r="I700" s="12" t="s">
        <v>62</v>
      </c>
      <c r="J700" s="2" t="s">
        <v>1400</v>
      </c>
      <c r="K700" s="16">
        <v>6.89</v>
      </c>
      <c r="L700" s="16">
        <v>10.99</v>
      </c>
      <c r="M700" s="16">
        <v>10.99</v>
      </c>
    </row>
    <row r="701" spans="1:13" outlineLevel="3" x14ac:dyDescent="0.2">
      <c r="B701" s="4" t="str">
        <f t="shared" si="20"/>
        <v>0000950100</v>
      </c>
      <c r="C701" s="5" t="str">
        <f>"000051"</f>
        <v>000051</v>
      </c>
      <c r="D701" s="12" t="s">
        <v>163</v>
      </c>
      <c r="E701" s="14" t="s">
        <v>82</v>
      </c>
      <c r="F701" s="12" t="s">
        <v>73</v>
      </c>
      <c r="G701" s="15">
        <v>100</v>
      </c>
      <c r="H701" s="12" t="s">
        <v>162</v>
      </c>
      <c r="I701" s="12" t="s">
        <v>6</v>
      </c>
      <c r="K701" s="16">
        <v>6.89</v>
      </c>
      <c r="L701" s="16">
        <v>10.99</v>
      </c>
      <c r="M701" s="16">
        <v>10.99</v>
      </c>
    </row>
    <row r="702" spans="1:13" outlineLevel="3" x14ac:dyDescent="0.2">
      <c r="B702" s="4" t="str">
        <f t="shared" si="20"/>
        <v>0000950100</v>
      </c>
      <c r="C702" s="5" t="str">
        <f>"023641"</f>
        <v>023641</v>
      </c>
      <c r="D702" s="12" t="s">
        <v>164</v>
      </c>
      <c r="E702" s="14" t="s">
        <v>82</v>
      </c>
      <c r="F702" s="12" t="s">
        <v>73</v>
      </c>
      <c r="G702" s="15" t="s">
        <v>123</v>
      </c>
      <c r="H702" s="12" t="s">
        <v>162</v>
      </c>
      <c r="I702" s="12" t="s">
        <v>30</v>
      </c>
      <c r="K702" s="16">
        <v>6.89</v>
      </c>
      <c r="L702" s="16">
        <v>10.99</v>
      </c>
      <c r="M702" s="16">
        <v>10.99</v>
      </c>
    </row>
    <row r="703" spans="1:13" outlineLevel="3" x14ac:dyDescent="0.2">
      <c r="B703" s="4" t="str">
        <f t="shared" si="20"/>
        <v>0000950100</v>
      </c>
      <c r="C703" s="5" t="str">
        <f>"454268"</f>
        <v>454268</v>
      </c>
      <c r="D703" s="12" t="s">
        <v>166</v>
      </c>
      <c r="E703" s="14" t="s">
        <v>82</v>
      </c>
      <c r="F703" s="12" t="s">
        <v>73</v>
      </c>
      <c r="G703" s="15">
        <v>100</v>
      </c>
      <c r="H703" s="12" t="s">
        <v>162</v>
      </c>
      <c r="I703" s="12" t="s">
        <v>124</v>
      </c>
      <c r="K703" s="16">
        <v>6.89</v>
      </c>
      <c r="L703" s="16">
        <v>10.99</v>
      </c>
      <c r="M703" s="16">
        <v>10.99</v>
      </c>
    </row>
    <row r="704" spans="1:13" outlineLevel="3" x14ac:dyDescent="0.2">
      <c r="B704" s="4" t="str">
        <f t="shared" si="20"/>
        <v>0000950100</v>
      </c>
      <c r="C704" s="5" t="str">
        <f>"498529"</f>
        <v>498529</v>
      </c>
      <c r="D704" s="12" t="s">
        <v>165</v>
      </c>
      <c r="E704" s="14" t="s">
        <v>82</v>
      </c>
      <c r="F704" s="12" t="s">
        <v>73</v>
      </c>
      <c r="G704" s="15">
        <v>100</v>
      </c>
      <c r="H704" s="12" t="s">
        <v>162</v>
      </c>
      <c r="I704" s="12" t="s">
        <v>28</v>
      </c>
      <c r="K704" s="16">
        <v>6.89</v>
      </c>
      <c r="L704" s="16">
        <v>10.99</v>
      </c>
      <c r="M704" s="16">
        <v>10.99</v>
      </c>
    </row>
    <row r="705" spans="2:13" outlineLevel="3" x14ac:dyDescent="0.2">
      <c r="B705" s="4" t="str">
        <f t="shared" si="20"/>
        <v>0000950100</v>
      </c>
      <c r="C705" s="5" t="str">
        <f>"088315"</f>
        <v>088315</v>
      </c>
      <c r="D705" s="12" t="s">
        <v>168</v>
      </c>
      <c r="E705" s="14" t="s">
        <v>82</v>
      </c>
      <c r="F705" s="12" t="s">
        <v>73</v>
      </c>
      <c r="G705" s="15">
        <v>100</v>
      </c>
      <c r="H705" s="12" t="s">
        <v>162</v>
      </c>
      <c r="I705" s="12" t="s">
        <v>64</v>
      </c>
      <c r="K705" s="16">
        <v>5.95</v>
      </c>
      <c r="L705" s="16">
        <v>9.49</v>
      </c>
      <c r="M705" s="16">
        <v>10.99</v>
      </c>
    </row>
    <row r="706" spans="2:13" outlineLevel="2" x14ac:dyDescent="0.2"/>
    <row r="707" spans="2:13" outlineLevel="3" x14ac:dyDescent="0.2">
      <c r="B707" s="4" t="str">
        <f>"0000970030"</f>
        <v>0000970030</v>
      </c>
      <c r="C707" s="5" t="str">
        <f>"565887"</f>
        <v>565887</v>
      </c>
      <c r="D707" s="12" t="s">
        <v>161</v>
      </c>
      <c r="E707" s="14" t="s">
        <v>14</v>
      </c>
      <c r="F707" s="12" t="s">
        <v>73</v>
      </c>
      <c r="G707" s="15">
        <v>30</v>
      </c>
      <c r="H707" s="12" t="s">
        <v>162</v>
      </c>
      <c r="I707" s="12" t="s">
        <v>62</v>
      </c>
      <c r="J707" s="2" t="s">
        <v>1400</v>
      </c>
      <c r="K707" s="16">
        <v>4.78</v>
      </c>
      <c r="L707" s="16">
        <v>7.62</v>
      </c>
      <c r="M707" s="16">
        <v>9.1199999999999992</v>
      </c>
    </row>
    <row r="708" spans="2:13" outlineLevel="3" x14ac:dyDescent="0.2">
      <c r="B708" s="4" t="str">
        <f>"0000970030"</f>
        <v>0000970030</v>
      </c>
      <c r="C708" s="5" t="str">
        <f>"000108"</f>
        <v>000108</v>
      </c>
      <c r="D708" s="12" t="s">
        <v>163</v>
      </c>
      <c r="E708" s="14" t="s">
        <v>14</v>
      </c>
      <c r="F708" s="12" t="s">
        <v>73</v>
      </c>
      <c r="G708" s="15">
        <v>30</v>
      </c>
      <c r="H708" s="12" t="s">
        <v>162</v>
      </c>
      <c r="I708" s="12" t="s">
        <v>6</v>
      </c>
      <c r="K708" s="16">
        <v>4.78</v>
      </c>
      <c r="L708" s="16">
        <v>7.62</v>
      </c>
      <c r="M708" s="16">
        <v>9.1199999999999992</v>
      </c>
    </row>
    <row r="709" spans="2:13" outlineLevel="3" x14ac:dyDescent="0.2">
      <c r="B709" s="4" t="str">
        <f>"0000970030"</f>
        <v>0000970030</v>
      </c>
      <c r="C709" s="5" t="str">
        <f>"023650"</f>
        <v>023650</v>
      </c>
      <c r="D709" s="12" t="s">
        <v>164</v>
      </c>
      <c r="E709" s="14" t="s">
        <v>14</v>
      </c>
      <c r="F709" s="12" t="s">
        <v>73</v>
      </c>
      <c r="G709" s="15">
        <v>30</v>
      </c>
      <c r="H709" s="12" t="s">
        <v>162</v>
      </c>
      <c r="I709" s="12" t="s">
        <v>30</v>
      </c>
      <c r="K709" s="16">
        <v>4.78</v>
      </c>
      <c r="L709" s="16">
        <v>7.62</v>
      </c>
      <c r="M709" s="16">
        <v>9.1199999999999992</v>
      </c>
    </row>
    <row r="710" spans="2:13" outlineLevel="3" x14ac:dyDescent="0.2">
      <c r="B710" s="4" t="str">
        <f>"0000970030"</f>
        <v>0000970030</v>
      </c>
      <c r="C710" s="5" t="str">
        <f>"158924"</f>
        <v>158924</v>
      </c>
      <c r="D710" s="12" t="s">
        <v>165</v>
      </c>
      <c r="E710" s="14" t="s">
        <v>14</v>
      </c>
      <c r="F710" s="12" t="s">
        <v>73</v>
      </c>
      <c r="G710" s="15">
        <v>30</v>
      </c>
      <c r="H710" s="12" t="s">
        <v>162</v>
      </c>
      <c r="I710" s="12" t="s">
        <v>28</v>
      </c>
      <c r="K710" s="16">
        <v>4.78</v>
      </c>
      <c r="L710" s="16">
        <v>7.62</v>
      </c>
      <c r="M710" s="16">
        <v>9.1199999999999992</v>
      </c>
    </row>
    <row r="711" spans="2:13" outlineLevel="3" x14ac:dyDescent="0.2">
      <c r="B711" s="4" t="str">
        <f>"0000970030"</f>
        <v>0000970030</v>
      </c>
      <c r="C711" s="5" t="str">
        <f>"528621"</f>
        <v>528621</v>
      </c>
      <c r="D711" s="12" t="s">
        <v>166</v>
      </c>
      <c r="E711" s="14" t="s">
        <v>14</v>
      </c>
      <c r="F711" s="12" t="s">
        <v>73</v>
      </c>
      <c r="G711" s="15">
        <v>30</v>
      </c>
      <c r="H711" s="12" t="s">
        <v>162</v>
      </c>
      <c r="I711" s="12" t="s">
        <v>124</v>
      </c>
      <c r="K711" s="16">
        <v>4.78</v>
      </c>
      <c r="L711" s="16">
        <v>7.62</v>
      </c>
      <c r="M711" s="16">
        <v>9.1199999999999992</v>
      </c>
    </row>
    <row r="712" spans="2:13" outlineLevel="2" x14ac:dyDescent="0.2"/>
    <row r="713" spans="2:13" ht="22.5" outlineLevel="3" x14ac:dyDescent="0.2">
      <c r="B713" s="4" t="str">
        <f t="shared" ref="B713:B720" si="21">"0000970100"</f>
        <v>0000970100</v>
      </c>
      <c r="C713" s="5" t="str">
        <f>"091686"</f>
        <v>091686</v>
      </c>
      <c r="D713" s="12" t="s">
        <v>169</v>
      </c>
      <c r="E713" s="14" t="s">
        <v>14</v>
      </c>
      <c r="F713" s="12" t="s">
        <v>73</v>
      </c>
      <c r="G713" s="15">
        <v>98</v>
      </c>
      <c r="H713" s="12" t="s">
        <v>162</v>
      </c>
      <c r="I713" s="12" t="s">
        <v>170</v>
      </c>
      <c r="K713" s="16">
        <v>13.35</v>
      </c>
      <c r="L713" s="16">
        <v>20.83</v>
      </c>
      <c r="M713" s="16">
        <v>11.77</v>
      </c>
    </row>
    <row r="714" spans="2:13" outlineLevel="3" x14ac:dyDescent="0.2">
      <c r="B714" s="4" t="str">
        <f t="shared" si="21"/>
        <v>0000970100</v>
      </c>
      <c r="C714" s="5" t="str">
        <f>"002837"</f>
        <v>002837</v>
      </c>
      <c r="D714" s="12" t="s">
        <v>167</v>
      </c>
      <c r="E714" s="14" t="s">
        <v>14</v>
      </c>
      <c r="F714" s="12" t="s">
        <v>73</v>
      </c>
      <c r="G714" s="15">
        <v>100</v>
      </c>
      <c r="H714" s="12" t="s">
        <v>162</v>
      </c>
      <c r="I714" s="12" t="s">
        <v>11</v>
      </c>
      <c r="J714" s="2" t="s">
        <v>1400</v>
      </c>
      <c r="K714" s="16">
        <v>7.38</v>
      </c>
      <c r="L714" s="16">
        <v>11.77</v>
      </c>
      <c r="M714" s="16">
        <v>11.77</v>
      </c>
    </row>
    <row r="715" spans="2:13" outlineLevel="3" x14ac:dyDescent="0.2">
      <c r="B715" s="4" t="str">
        <f t="shared" si="21"/>
        <v>0000970100</v>
      </c>
      <c r="C715" s="5" t="str">
        <f>"000097"</f>
        <v>000097</v>
      </c>
      <c r="D715" s="12" t="s">
        <v>163</v>
      </c>
      <c r="E715" s="14" t="s">
        <v>14</v>
      </c>
      <c r="F715" s="12" t="s">
        <v>73</v>
      </c>
      <c r="G715" s="15">
        <v>100</v>
      </c>
      <c r="H715" s="12" t="s">
        <v>162</v>
      </c>
      <c r="I715" s="12" t="s">
        <v>6</v>
      </c>
      <c r="K715" s="16">
        <v>7.38</v>
      </c>
      <c r="L715" s="16">
        <v>11.77</v>
      </c>
      <c r="M715" s="16">
        <v>11.77</v>
      </c>
    </row>
    <row r="716" spans="2:13" outlineLevel="3" x14ac:dyDescent="0.2">
      <c r="B716" s="4" t="str">
        <f t="shared" si="21"/>
        <v>0000970100</v>
      </c>
      <c r="C716" s="5" t="str">
        <f>"023649"</f>
        <v>023649</v>
      </c>
      <c r="D716" s="12" t="s">
        <v>164</v>
      </c>
      <c r="E716" s="14" t="s">
        <v>14</v>
      </c>
      <c r="F716" s="12" t="s">
        <v>73</v>
      </c>
      <c r="G716" s="15" t="s">
        <v>123</v>
      </c>
      <c r="H716" s="12" t="s">
        <v>162</v>
      </c>
      <c r="I716" s="12" t="s">
        <v>30</v>
      </c>
      <c r="K716" s="16">
        <v>7.38</v>
      </c>
      <c r="L716" s="16">
        <v>11.77</v>
      </c>
      <c r="M716" s="16">
        <v>11.77</v>
      </c>
    </row>
    <row r="717" spans="2:13" outlineLevel="3" x14ac:dyDescent="0.2">
      <c r="B717" s="4" t="str">
        <f t="shared" si="21"/>
        <v>0000970100</v>
      </c>
      <c r="C717" s="5" t="str">
        <f>"113780"</f>
        <v>113780</v>
      </c>
      <c r="D717" s="12" t="s">
        <v>165</v>
      </c>
      <c r="E717" s="14" t="s">
        <v>14</v>
      </c>
      <c r="F717" s="12" t="s">
        <v>73</v>
      </c>
      <c r="G717" s="15">
        <v>100</v>
      </c>
      <c r="H717" s="12" t="s">
        <v>162</v>
      </c>
      <c r="I717" s="12" t="s">
        <v>28</v>
      </c>
      <c r="K717" s="16">
        <v>7.38</v>
      </c>
      <c r="L717" s="16">
        <v>11.77</v>
      </c>
      <c r="M717" s="16">
        <v>11.77</v>
      </c>
    </row>
    <row r="718" spans="2:13" outlineLevel="3" x14ac:dyDescent="0.2">
      <c r="B718" s="4" t="str">
        <f t="shared" si="21"/>
        <v>0000970100</v>
      </c>
      <c r="C718" s="5" t="str">
        <f>"589143"</f>
        <v>589143</v>
      </c>
      <c r="D718" s="12" t="s">
        <v>161</v>
      </c>
      <c r="E718" s="14" t="s">
        <v>14</v>
      </c>
      <c r="F718" s="12" t="s">
        <v>73</v>
      </c>
      <c r="G718" s="15">
        <v>100</v>
      </c>
      <c r="H718" s="12" t="s">
        <v>162</v>
      </c>
      <c r="I718" s="12" t="s">
        <v>62</v>
      </c>
      <c r="J718" s="2" t="s">
        <v>1400</v>
      </c>
      <c r="K718" s="16">
        <v>7.37</v>
      </c>
      <c r="L718" s="16">
        <v>11.76</v>
      </c>
      <c r="M718" s="16">
        <v>11.77</v>
      </c>
    </row>
    <row r="719" spans="2:13" outlineLevel="3" x14ac:dyDescent="0.2">
      <c r="B719" s="4" t="str">
        <f t="shared" si="21"/>
        <v>0000970100</v>
      </c>
      <c r="C719" s="5" t="str">
        <f>"475052"</f>
        <v>475052</v>
      </c>
      <c r="D719" s="12" t="s">
        <v>166</v>
      </c>
      <c r="E719" s="14" t="s">
        <v>14</v>
      </c>
      <c r="F719" s="12" t="s">
        <v>73</v>
      </c>
      <c r="G719" s="15">
        <v>100</v>
      </c>
      <c r="H719" s="12" t="s">
        <v>162</v>
      </c>
      <c r="I719" s="12" t="s">
        <v>124</v>
      </c>
      <c r="K719" s="16">
        <v>7.37</v>
      </c>
      <c r="L719" s="16">
        <v>11.76</v>
      </c>
      <c r="M719" s="16">
        <v>11.77</v>
      </c>
    </row>
    <row r="720" spans="2:13" outlineLevel="3" x14ac:dyDescent="0.2">
      <c r="B720" s="4" t="str">
        <f t="shared" si="21"/>
        <v>0000970100</v>
      </c>
      <c r="C720" s="5" t="str">
        <f>"088333"</f>
        <v>088333</v>
      </c>
      <c r="D720" s="12" t="s">
        <v>168</v>
      </c>
      <c r="E720" s="14" t="s">
        <v>14</v>
      </c>
      <c r="F720" s="12" t="s">
        <v>73</v>
      </c>
      <c r="G720" s="15">
        <v>100</v>
      </c>
      <c r="H720" s="12" t="s">
        <v>162</v>
      </c>
      <c r="I720" s="12" t="s">
        <v>64</v>
      </c>
      <c r="K720" s="16">
        <v>6.44</v>
      </c>
      <c r="L720" s="16">
        <v>10.27</v>
      </c>
      <c r="M720" s="16">
        <v>11.77</v>
      </c>
    </row>
    <row r="721" spans="1:13" outlineLevel="2" x14ac:dyDescent="0.2"/>
    <row r="722" spans="1:13" outlineLevel="3" x14ac:dyDescent="0.2">
      <c r="B722" s="4" t="str">
        <f>"0000980030"</f>
        <v>0000980030</v>
      </c>
      <c r="C722" s="5" t="str">
        <f>"565903"</f>
        <v>565903</v>
      </c>
      <c r="D722" s="12" t="s">
        <v>161</v>
      </c>
      <c r="E722" s="14" t="s">
        <v>111</v>
      </c>
      <c r="F722" s="12" t="s">
        <v>73</v>
      </c>
      <c r="G722" s="15">
        <v>30</v>
      </c>
      <c r="H722" s="12" t="s">
        <v>162</v>
      </c>
      <c r="I722" s="12" t="s">
        <v>62</v>
      </c>
      <c r="J722" s="2" t="s">
        <v>1400</v>
      </c>
      <c r="K722" s="16">
        <v>3.39</v>
      </c>
      <c r="L722" s="16">
        <v>5.41</v>
      </c>
      <c r="M722" s="16">
        <v>6.18</v>
      </c>
    </row>
    <row r="723" spans="1:13" outlineLevel="3" x14ac:dyDescent="0.2">
      <c r="B723" s="4" t="str">
        <f>"0000980030"</f>
        <v>0000980030</v>
      </c>
      <c r="C723" s="5" t="str">
        <f>"023716"</f>
        <v>023716</v>
      </c>
      <c r="D723" s="12" t="s">
        <v>164</v>
      </c>
      <c r="E723" s="14" t="s">
        <v>111</v>
      </c>
      <c r="F723" s="12" t="s">
        <v>73</v>
      </c>
      <c r="G723" s="15">
        <v>30</v>
      </c>
      <c r="H723" s="12" t="s">
        <v>162</v>
      </c>
      <c r="I723" s="12" t="s">
        <v>30</v>
      </c>
      <c r="K723" s="16">
        <v>3.39</v>
      </c>
      <c r="L723" s="16">
        <v>5.41</v>
      </c>
      <c r="M723" s="16">
        <v>6.18</v>
      </c>
    </row>
    <row r="724" spans="1:13" outlineLevel="3" x14ac:dyDescent="0.2">
      <c r="B724" s="4" t="str">
        <f>"0000980030"</f>
        <v>0000980030</v>
      </c>
      <c r="C724" s="5" t="str">
        <f>"095167"</f>
        <v>095167</v>
      </c>
      <c r="D724" s="12" t="s">
        <v>166</v>
      </c>
      <c r="E724" s="14" t="s">
        <v>111</v>
      </c>
      <c r="F724" s="12" t="s">
        <v>73</v>
      </c>
      <c r="G724" s="15">
        <v>30</v>
      </c>
      <c r="H724" s="12" t="s">
        <v>162</v>
      </c>
      <c r="I724" s="12" t="s">
        <v>124</v>
      </c>
      <c r="K724" s="16">
        <v>3.39</v>
      </c>
      <c r="L724" s="16">
        <v>5.41</v>
      </c>
      <c r="M724" s="16">
        <v>6.18</v>
      </c>
    </row>
    <row r="725" spans="1:13" outlineLevel="3" x14ac:dyDescent="0.2">
      <c r="B725" s="4" t="str">
        <f>"0000980030"</f>
        <v>0000980030</v>
      </c>
      <c r="C725" s="5" t="str">
        <f>"460167"</f>
        <v>460167</v>
      </c>
      <c r="D725" s="12" t="s">
        <v>165</v>
      </c>
      <c r="E725" s="14" t="s">
        <v>111</v>
      </c>
      <c r="F725" s="12" t="s">
        <v>73</v>
      </c>
      <c r="G725" s="15">
        <v>30</v>
      </c>
      <c r="H725" s="12" t="s">
        <v>162</v>
      </c>
      <c r="I725" s="12" t="s">
        <v>28</v>
      </c>
      <c r="K725" s="16">
        <v>3.39</v>
      </c>
      <c r="L725" s="16">
        <v>5.41</v>
      </c>
      <c r="M725" s="16">
        <v>6.18</v>
      </c>
    </row>
    <row r="726" spans="1:13" outlineLevel="3" x14ac:dyDescent="0.2">
      <c r="B726" s="4" t="str">
        <f>"0000980030"</f>
        <v>0000980030</v>
      </c>
      <c r="C726" s="5" t="str">
        <f>"000130"</f>
        <v>000130</v>
      </c>
      <c r="D726" s="12" t="s">
        <v>163</v>
      </c>
      <c r="E726" s="14" t="s">
        <v>111</v>
      </c>
      <c r="F726" s="12" t="s">
        <v>73</v>
      </c>
      <c r="G726" s="15">
        <v>30</v>
      </c>
      <c r="H726" s="12" t="s">
        <v>162</v>
      </c>
      <c r="I726" s="12" t="s">
        <v>6</v>
      </c>
      <c r="K726" s="16">
        <v>2.93</v>
      </c>
      <c r="L726" s="16">
        <v>4.68</v>
      </c>
      <c r="M726" s="16">
        <v>6.18</v>
      </c>
    </row>
    <row r="727" spans="1:13" outlineLevel="2" x14ac:dyDescent="0.2"/>
    <row r="728" spans="1:13" ht="22.5" outlineLevel="3" x14ac:dyDescent="0.2">
      <c r="B728" s="4" t="str">
        <f t="shared" ref="B728:B734" si="22">"0000980100"</f>
        <v>0000980100</v>
      </c>
      <c r="C728" s="5" t="str">
        <f>"091652"</f>
        <v>091652</v>
      </c>
      <c r="D728" s="12" t="s">
        <v>169</v>
      </c>
      <c r="E728" s="14" t="s">
        <v>111</v>
      </c>
      <c r="F728" s="12" t="s">
        <v>73</v>
      </c>
      <c r="G728" s="15">
        <v>98</v>
      </c>
      <c r="H728" s="12" t="s">
        <v>162</v>
      </c>
      <c r="I728" s="12" t="s">
        <v>170</v>
      </c>
      <c r="K728" s="16">
        <v>5.94</v>
      </c>
      <c r="L728" s="16">
        <v>9.4700000000000006</v>
      </c>
      <c r="M728" s="16">
        <v>9.16</v>
      </c>
    </row>
    <row r="729" spans="1:13" outlineLevel="3" x14ac:dyDescent="0.2">
      <c r="B729" s="4" t="str">
        <f t="shared" si="22"/>
        <v>0000980100</v>
      </c>
      <c r="C729" s="5" t="str">
        <f>"589010"</f>
        <v>589010</v>
      </c>
      <c r="D729" s="12" t="s">
        <v>161</v>
      </c>
      <c r="E729" s="14" t="s">
        <v>111</v>
      </c>
      <c r="F729" s="12" t="s">
        <v>73</v>
      </c>
      <c r="G729" s="15">
        <v>100</v>
      </c>
      <c r="H729" s="12" t="s">
        <v>162</v>
      </c>
      <c r="I729" s="12" t="s">
        <v>62</v>
      </c>
      <c r="J729" s="2" t="s">
        <v>1400</v>
      </c>
      <c r="K729" s="16">
        <v>5.84</v>
      </c>
      <c r="L729" s="16">
        <v>9.32</v>
      </c>
      <c r="M729" s="16">
        <v>9.16</v>
      </c>
    </row>
    <row r="730" spans="1:13" outlineLevel="3" x14ac:dyDescent="0.2">
      <c r="B730" s="4" t="str">
        <f t="shared" si="22"/>
        <v>0000980100</v>
      </c>
      <c r="C730" s="5" t="str">
        <f>"000119"</f>
        <v>000119</v>
      </c>
      <c r="D730" s="12" t="s">
        <v>163</v>
      </c>
      <c r="E730" s="14" t="s">
        <v>111</v>
      </c>
      <c r="F730" s="12" t="s">
        <v>73</v>
      </c>
      <c r="G730" s="15">
        <v>100</v>
      </c>
      <c r="H730" s="12" t="s">
        <v>162</v>
      </c>
      <c r="I730" s="12" t="s">
        <v>6</v>
      </c>
      <c r="K730" s="16">
        <v>5.84</v>
      </c>
      <c r="L730" s="16">
        <v>9.32</v>
      </c>
      <c r="M730" s="16">
        <v>9.16</v>
      </c>
    </row>
    <row r="731" spans="1:13" outlineLevel="3" x14ac:dyDescent="0.2">
      <c r="B731" s="4" t="str">
        <f t="shared" si="22"/>
        <v>0000980100</v>
      </c>
      <c r="C731" s="5" t="str">
        <f>"023738"</f>
        <v>023738</v>
      </c>
      <c r="D731" s="12" t="s">
        <v>164</v>
      </c>
      <c r="E731" s="14" t="s">
        <v>111</v>
      </c>
      <c r="F731" s="12" t="s">
        <v>73</v>
      </c>
      <c r="G731" s="15" t="s">
        <v>123</v>
      </c>
      <c r="H731" s="12" t="s">
        <v>162</v>
      </c>
      <c r="I731" s="12" t="s">
        <v>30</v>
      </c>
      <c r="K731" s="16">
        <v>5.84</v>
      </c>
      <c r="L731" s="16">
        <v>9.32</v>
      </c>
      <c r="M731" s="16">
        <v>9.16</v>
      </c>
    </row>
    <row r="732" spans="1:13" outlineLevel="3" x14ac:dyDescent="0.2">
      <c r="B732" s="4" t="str">
        <f t="shared" si="22"/>
        <v>0000980100</v>
      </c>
      <c r="C732" s="5" t="str">
        <f>"554074"</f>
        <v>554074</v>
      </c>
      <c r="D732" s="12" t="s">
        <v>166</v>
      </c>
      <c r="E732" s="14" t="s">
        <v>111</v>
      </c>
      <c r="F732" s="12" t="s">
        <v>73</v>
      </c>
      <c r="G732" s="15">
        <v>100</v>
      </c>
      <c r="H732" s="12" t="s">
        <v>162</v>
      </c>
      <c r="I732" s="12" t="s">
        <v>124</v>
      </c>
      <c r="K732" s="16">
        <v>5.84</v>
      </c>
      <c r="L732" s="16">
        <v>9.32</v>
      </c>
      <c r="M732" s="16">
        <v>9.16</v>
      </c>
    </row>
    <row r="733" spans="1:13" outlineLevel="3" x14ac:dyDescent="0.2">
      <c r="B733" s="4" t="str">
        <f t="shared" si="22"/>
        <v>0000980100</v>
      </c>
      <c r="C733" s="5" t="str">
        <f>"561010"</f>
        <v>561010</v>
      </c>
      <c r="D733" s="12" t="s">
        <v>165</v>
      </c>
      <c r="E733" s="14" t="s">
        <v>111</v>
      </c>
      <c r="F733" s="12" t="s">
        <v>73</v>
      </c>
      <c r="G733" s="15">
        <v>100</v>
      </c>
      <c r="H733" s="12" t="s">
        <v>162</v>
      </c>
      <c r="I733" s="12" t="s">
        <v>28</v>
      </c>
      <c r="K733" s="16">
        <v>5.84</v>
      </c>
      <c r="L733" s="16">
        <v>9.32</v>
      </c>
      <c r="M733" s="16">
        <v>9.16</v>
      </c>
    </row>
    <row r="734" spans="1:13" outlineLevel="3" x14ac:dyDescent="0.2">
      <c r="B734" s="4" t="str">
        <f t="shared" si="22"/>
        <v>0000980100</v>
      </c>
      <c r="C734" s="5" t="str">
        <f>"088297"</f>
        <v>088297</v>
      </c>
      <c r="D734" s="12" t="s">
        <v>168</v>
      </c>
      <c r="E734" s="14" t="s">
        <v>111</v>
      </c>
      <c r="F734" s="12" t="s">
        <v>73</v>
      </c>
      <c r="G734" s="15">
        <v>100</v>
      </c>
      <c r="H734" s="12" t="s">
        <v>162</v>
      </c>
      <c r="I734" s="12" t="s">
        <v>64</v>
      </c>
      <c r="K734" s="16">
        <v>4.8</v>
      </c>
      <c r="L734" s="16">
        <v>7.66</v>
      </c>
      <c r="M734" s="16">
        <v>9.16</v>
      </c>
    </row>
    <row r="735" spans="1:13" outlineLevel="1" x14ac:dyDescent="0.2">
      <c r="A735" s="3"/>
    </row>
    <row r="736" spans="1:13" outlineLevel="2" x14ac:dyDescent="0.2">
      <c r="A736" s="3" t="s">
        <v>1441</v>
      </c>
    </row>
    <row r="737" spans="1:13" outlineLevel="3" x14ac:dyDescent="0.2">
      <c r="B737" s="4" t="str">
        <f>"0000990100"</f>
        <v>0000990100</v>
      </c>
      <c r="C737" s="5" t="str">
        <f>"006305"</f>
        <v>006305</v>
      </c>
      <c r="D737" s="12" t="s">
        <v>171</v>
      </c>
      <c r="E737" s="14" t="s">
        <v>82</v>
      </c>
      <c r="F737" s="12" t="s">
        <v>73</v>
      </c>
      <c r="G737" s="15">
        <v>100</v>
      </c>
      <c r="H737" s="12" t="s">
        <v>172</v>
      </c>
      <c r="I737" s="12" t="s">
        <v>5</v>
      </c>
      <c r="K737" s="16">
        <v>16.52</v>
      </c>
      <c r="L737" s="16">
        <v>25.54</v>
      </c>
      <c r="M737" s="16">
        <v>25.01</v>
      </c>
    </row>
    <row r="738" spans="1:13" outlineLevel="3" x14ac:dyDescent="0.2">
      <c r="B738" s="4" t="str">
        <f>"0000990100"</f>
        <v>0000990100</v>
      </c>
      <c r="C738" s="5" t="str">
        <f>"452999"</f>
        <v>452999</v>
      </c>
      <c r="D738" s="12" t="s">
        <v>174</v>
      </c>
      <c r="E738" s="14" t="s">
        <v>82</v>
      </c>
      <c r="F738" s="12" t="s">
        <v>73</v>
      </c>
      <c r="G738" s="15">
        <v>100</v>
      </c>
      <c r="H738" s="12" t="s">
        <v>172</v>
      </c>
      <c r="I738" s="12" t="s">
        <v>58</v>
      </c>
      <c r="K738" s="16">
        <v>16.52</v>
      </c>
      <c r="L738" s="16">
        <v>25.54</v>
      </c>
      <c r="M738" s="16">
        <v>25.01</v>
      </c>
    </row>
    <row r="739" spans="1:13" ht="22.5" outlineLevel="3" x14ac:dyDescent="0.2">
      <c r="B739" s="4" t="str">
        <f>"0000990100"</f>
        <v>0000990100</v>
      </c>
      <c r="C739" s="5" t="str">
        <f>"078836"</f>
        <v>078836</v>
      </c>
      <c r="D739" s="12" t="s">
        <v>173</v>
      </c>
      <c r="E739" s="14" t="s">
        <v>82</v>
      </c>
      <c r="F739" s="12" t="s">
        <v>73</v>
      </c>
      <c r="G739" s="15">
        <v>100</v>
      </c>
      <c r="H739" s="12" t="s">
        <v>172</v>
      </c>
      <c r="I739" s="12" t="s">
        <v>60</v>
      </c>
      <c r="K739" s="16">
        <v>15.15</v>
      </c>
      <c r="L739" s="16">
        <v>23.51</v>
      </c>
      <c r="M739" s="16">
        <v>25.01</v>
      </c>
    </row>
    <row r="740" spans="1:13" outlineLevel="2" x14ac:dyDescent="0.2"/>
    <row r="741" spans="1:13" outlineLevel="3" x14ac:dyDescent="0.2">
      <c r="B741" s="4" t="str">
        <f>"0001010100"</f>
        <v>0001010100</v>
      </c>
      <c r="C741" s="5" t="str">
        <f>"006323"</f>
        <v>006323</v>
      </c>
      <c r="D741" s="12" t="s">
        <v>171</v>
      </c>
      <c r="E741" s="14" t="s">
        <v>14</v>
      </c>
      <c r="F741" s="12" t="s">
        <v>73</v>
      </c>
      <c r="G741" s="15">
        <v>100</v>
      </c>
      <c r="H741" s="12" t="s">
        <v>172</v>
      </c>
      <c r="I741" s="12" t="s">
        <v>5</v>
      </c>
      <c r="K741" s="16">
        <v>20.81</v>
      </c>
      <c r="L741" s="16">
        <v>31.91</v>
      </c>
      <c r="M741" s="16">
        <v>30.51</v>
      </c>
    </row>
    <row r="742" spans="1:13" outlineLevel="3" x14ac:dyDescent="0.2">
      <c r="B742" s="4" t="str">
        <f>"0001010100"</f>
        <v>0001010100</v>
      </c>
      <c r="C742" s="5" t="str">
        <f>"524946"</f>
        <v>524946</v>
      </c>
      <c r="D742" s="12" t="s">
        <v>174</v>
      </c>
      <c r="E742" s="14" t="s">
        <v>14</v>
      </c>
      <c r="F742" s="12" t="s">
        <v>73</v>
      </c>
      <c r="G742" s="15">
        <v>100</v>
      </c>
      <c r="H742" s="12" t="s">
        <v>172</v>
      </c>
      <c r="I742" s="12" t="s">
        <v>58</v>
      </c>
      <c r="K742" s="16">
        <v>20.81</v>
      </c>
      <c r="L742" s="16">
        <v>31.91</v>
      </c>
      <c r="M742" s="16">
        <v>30.51</v>
      </c>
    </row>
    <row r="743" spans="1:13" ht="22.5" outlineLevel="3" x14ac:dyDescent="0.2">
      <c r="B743" s="4" t="str">
        <f>"0001010100"</f>
        <v>0001010100</v>
      </c>
      <c r="C743" s="5" t="str">
        <f>"078847"</f>
        <v>078847</v>
      </c>
      <c r="D743" s="12" t="s">
        <v>173</v>
      </c>
      <c r="E743" s="14" t="s">
        <v>14</v>
      </c>
      <c r="F743" s="12" t="s">
        <v>73</v>
      </c>
      <c r="G743" s="15">
        <v>100</v>
      </c>
      <c r="H743" s="12" t="s">
        <v>172</v>
      </c>
      <c r="I743" s="12" t="s">
        <v>60</v>
      </c>
      <c r="K743" s="16">
        <v>18.850000000000001</v>
      </c>
      <c r="L743" s="16">
        <v>29.01</v>
      </c>
      <c r="M743" s="16">
        <v>30.51</v>
      </c>
    </row>
    <row r="744" spans="1:13" outlineLevel="2" x14ac:dyDescent="0.2"/>
    <row r="745" spans="1:13" outlineLevel="3" x14ac:dyDescent="0.2">
      <c r="B745" s="4" t="str">
        <f>"0001020100"</f>
        <v>0001020100</v>
      </c>
      <c r="C745" s="5" t="str">
        <f>"402596"</f>
        <v>402596</v>
      </c>
      <c r="D745" s="12" t="s">
        <v>174</v>
      </c>
      <c r="E745" s="14" t="s">
        <v>111</v>
      </c>
      <c r="F745" s="12" t="s">
        <v>73</v>
      </c>
      <c r="G745" s="15">
        <v>100</v>
      </c>
      <c r="H745" s="12" t="s">
        <v>172</v>
      </c>
      <c r="I745" s="12" t="s">
        <v>58</v>
      </c>
      <c r="K745" s="16">
        <v>13.27</v>
      </c>
      <c r="L745" s="16">
        <v>20.71</v>
      </c>
      <c r="M745" s="16">
        <v>20.55</v>
      </c>
    </row>
    <row r="746" spans="1:13" ht="22.5" outlineLevel="3" x14ac:dyDescent="0.2">
      <c r="B746" s="4" t="str">
        <f>"0001020100"</f>
        <v>0001020100</v>
      </c>
      <c r="C746" s="5" t="str">
        <f>"078825"</f>
        <v>078825</v>
      </c>
      <c r="D746" s="12" t="s">
        <v>173</v>
      </c>
      <c r="E746" s="14" t="s">
        <v>111</v>
      </c>
      <c r="F746" s="12" t="s">
        <v>73</v>
      </c>
      <c r="G746" s="15">
        <v>100</v>
      </c>
      <c r="H746" s="12" t="s">
        <v>172</v>
      </c>
      <c r="I746" s="12" t="s">
        <v>60</v>
      </c>
      <c r="K746" s="16">
        <v>12.15</v>
      </c>
      <c r="L746" s="16">
        <v>19.05</v>
      </c>
      <c r="M746" s="16">
        <v>20.55</v>
      </c>
    </row>
    <row r="747" spans="1:13" outlineLevel="1" x14ac:dyDescent="0.2">
      <c r="A747" s="3"/>
    </row>
    <row r="748" spans="1:13" outlineLevel="2" x14ac:dyDescent="0.2">
      <c r="A748" s="3" t="s">
        <v>1442</v>
      </c>
    </row>
    <row r="749" spans="1:13" ht="33.75" outlineLevel="3" x14ac:dyDescent="0.2">
      <c r="B749" s="4" t="str">
        <f>"0001040030"</f>
        <v>0001040030</v>
      </c>
      <c r="C749" s="5" t="str">
        <f>"020992"</f>
        <v>020992</v>
      </c>
      <c r="D749" s="12" t="s">
        <v>175</v>
      </c>
      <c r="E749" s="14" t="s">
        <v>111</v>
      </c>
      <c r="F749" s="12" t="s">
        <v>3</v>
      </c>
      <c r="G749" s="15">
        <v>30</v>
      </c>
      <c r="H749" s="12" t="s">
        <v>176</v>
      </c>
      <c r="I749" s="12" t="s">
        <v>177</v>
      </c>
      <c r="K749" s="16">
        <v>7.54</v>
      </c>
      <c r="L749" s="16">
        <v>12.02</v>
      </c>
      <c r="M749" s="16">
        <v>13.52</v>
      </c>
    </row>
    <row r="750" spans="1:13" outlineLevel="3" x14ac:dyDescent="0.2">
      <c r="B750" s="4" t="str">
        <f>"0001040030"</f>
        <v>0001040030</v>
      </c>
      <c r="C750" s="5" t="str">
        <f>"042538"</f>
        <v>042538</v>
      </c>
      <c r="D750" s="12" t="s">
        <v>178</v>
      </c>
      <c r="E750" s="14" t="s">
        <v>179</v>
      </c>
      <c r="F750" s="12" t="s">
        <v>73</v>
      </c>
      <c r="G750" s="15">
        <v>30</v>
      </c>
      <c r="H750" s="12" t="s">
        <v>176</v>
      </c>
      <c r="I750" s="12" t="s">
        <v>5</v>
      </c>
      <c r="K750" s="16">
        <v>7.54</v>
      </c>
      <c r="L750" s="16">
        <v>12.02</v>
      </c>
      <c r="M750" s="16">
        <v>13.52</v>
      </c>
    </row>
    <row r="751" spans="1:13" outlineLevel="3" x14ac:dyDescent="0.2">
      <c r="B751" s="4" t="str">
        <f>"0001040030"</f>
        <v>0001040030</v>
      </c>
      <c r="C751" s="5" t="str">
        <f>"051959"</f>
        <v>051959</v>
      </c>
      <c r="D751" s="12" t="s">
        <v>180</v>
      </c>
      <c r="E751" s="14" t="s">
        <v>179</v>
      </c>
      <c r="F751" s="12" t="s">
        <v>73</v>
      </c>
      <c r="G751" s="15">
        <v>30</v>
      </c>
      <c r="H751" s="12" t="s">
        <v>176</v>
      </c>
      <c r="I751" s="12" t="s">
        <v>30</v>
      </c>
      <c r="K751" s="16">
        <v>7.54</v>
      </c>
      <c r="L751" s="16">
        <v>12.02</v>
      </c>
      <c r="M751" s="16">
        <v>13.52</v>
      </c>
    </row>
    <row r="752" spans="1:13" outlineLevel="2" x14ac:dyDescent="0.2"/>
    <row r="753" spans="1:13" ht="33.75" outlineLevel="3" x14ac:dyDescent="0.2">
      <c r="B753" s="4" t="str">
        <f>"0001040090"</f>
        <v>0001040090</v>
      </c>
      <c r="C753" s="5" t="str">
        <f>"021033"</f>
        <v>021033</v>
      </c>
      <c r="D753" s="12" t="s">
        <v>175</v>
      </c>
      <c r="E753" s="14" t="s">
        <v>111</v>
      </c>
      <c r="F753" s="12" t="s">
        <v>3</v>
      </c>
      <c r="G753" s="15">
        <v>90</v>
      </c>
      <c r="H753" s="12" t="s">
        <v>176</v>
      </c>
      <c r="I753" s="12" t="s">
        <v>177</v>
      </c>
      <c r="K753" s="16">
        <v>20.59</v>
      </c>
      <c r="L753" s="16">
        <v>31.59</v>
      </c>
      <c r="M753" s="16">
        <v>33.090000000000003</v>
      </c>
    </row>
    <row r="754" spans="1:13" outlineLevel="3" x14ac:dyDescent="0.2">
      <c r="B754" s="4" t="str">
        <f>"0001040090"</f>
        <v>0001040090</v>
      </c>
      <c r="C754" s="5" t="str">
        <f>"042550"</f>
        <v>042550</v>
      </c>
      <c r="D754" s="12" t="s">
        <v>178</v>
      </c>
      <c r="E754" s="14" t="s">
        <v>179</v>
      </c>
      <c r="F754" s="12" t="s">
        <v>73</v>
      </c>
      <c r="G754" s="15">
        <v>90</v>
      </c>
      <c r="H754" s="12" t="s">
        <v>176</v>
      </c>
      <c r="I754" s="12" t="s">
        <v>5</v>
      </c>
      <c r="K754" s="16">
        <v>20.59</v>
      </c>
      <c r="L754" s="16">
        <v>31.59</v>
      </c>
      <c r="M754" s="16">
        <v>33.090000000000003</v>
      </c>
    </row>
    <row r="755" spans="1:13" outlineLevel="3" x14ac:dyDescent="0.2">
      <c r="B755" s="4" t="str">
        <f>"0001040090"</f>
        <v>0001040090</v>
      </c>
      <c r="C755" s="5" t="str">
        <f>"051968"</f>
        <v>051968</v>
      </c>
      <c r="D755" s="12" t="s">
        <v>180</v>
      </c>
      <c r="E755" s="14" t="s">
        <v>179</v>
      </c>
      <c r="F755" s="12" t="s">
        <v>73</v>
      </c>
      <c r="G755" s="15">
        <v>90</v>
      </c>
      <c r="H755" s="12" t="s">
        <v>176</v>
      </c>
      <c r="I755" s="12" t="s">
        <v>30</v>
      </c>
      <c r="K755" s="16">
        <v>20.59</v>
      </c>
      <c r="L755" s="16">
        <v>31.59</v>
      </c>
      <c r="M755" s="16">
        <v>33.090000000000003</v>
      </c>
    </row>
    <row r="756" spans="1:13" ht="22.5" outlineLevel="3" x14ac:dyDescent="0.2">
      <c r="B756" s="4" t="str">
        <f>"0001040090"</f>
        <v>0001040090</v>
      </c>
      <c r="C756" s="5" t="str">
        <f>"163740"</f>
        <v>163740</v>
      </c>
      <c r="D756" s="12" t="s">
        <v>181</v>
      </c>
      <c r="E756" s="14" t="s">
        <v>179</v>
      </c>
      <c r="F756" s="12" t="s">
        <v>73</v>
      </c>
      <c r="G756" s="15">
        <v>90</v>
      </c>
      <c r="H756" s="12" t="s">
        <v>176</v>
      </c>
      <c r="I756" s="12" t="s">
        <v>68</v>
      </c>
      <c r="K756" s="16">
        <v>20.59</v>
      </c>
      <c r="L756" s="16">
        <v>31.59</v>
      </c>
      <c r="M756" s="16">
        <v>33.090000000000003</v>
      </c>
    </row>
    <row r="757" spans="1:13" outlineLevel="2" x14ac:dyDescent="0.2"/>
    <row r="758" spans="1:13" ht="33.75" outlineLevel="3" x14ac:dyDescent="0.2">
      <c r="B758" s="4" t="str">
        <f>"0005920030"</f>
        <v>0005920030</v>
      </c>
      <c r="C758" s="5" t="str">
        <f>"020918"</f>
        <v>020918</v>
      </c>
      <c r="D758" s="12" t="s">
        <v>175</v>
      </c>
      <c r="E758" s="14" t="s">
        <v>82</v>
      </c>
      <c r="F758" s="12" t="s">
        <v>3</v>
      </c>
      <c r="G758" s="15">
        <v>30</v>
      </c>
      <c r="H758" s="12" t="s">
        <v>176</v>
      </c>
      <c r="I758" s="12" t="s">
        <v>177</v>
      </c>
      <c r="K758" s="16">
        <v>12.01</v>
      </c>
      <c r="L758" s="16">
        <v>18.84</v>
      </c>
      <c r="M758" s="16">
        <v>20.34</v>
      </c>
    </row>
    <row r="759" spans="1:13" outlineLevel="3" x14ac:dyDescent="0.2">
      <c r="B759" s="4" t="str">
        <f>"0005920030"</f>
        <v>0005920030</v>
      </c>
      <c r="C759" s="5" t="str">
        <f>"042516"</f>
        <v>042516</v>
      </c>
      <c r="D759" s="12" t="s">
        <v>178</v>
      </c>
      <c r="E759" s="14" t="s">
        <v>544</v>
      </c>
      <c r="F759" s="12" t="s">
        <v>73</v>
      </c>
      <c r="G759" s="15">
        <v>30</v>
      </c>
      <c r="H759" s="12" t="s">
        <v>176</v>
      </c>
      <c r="I759" s="12" t="s">
        <v>5</v>
      </c>
      <c r="K759" s="16">
        <v>12.01</v>
      </c>
      <c r="L759" s="16">
        <v>18.84</v>
      </c>
      <c r="M759" s="16">
        <v>20.34</v>
      </c>
    </row>
    <row r="760" spans="1:13" outlineLevel="3" x14ac:dyDescent="0.2">
      <c r="B760" s="4" t="str">
        <f>"0005920030"</f>
        <v>0005920030</v>
      </c>
      <c r="C760" s="5" t="str">
        <f>"157088"</f>
        <v>157088</v>
      </c>
      <c r="D760" s="12" t="s">
        <v>180</v>
      </c>
      <c r="E760" s="14" t="s">
        <v>544</v>
      </c>
      <c r="F760" s="12" t="s">
        <v>73</v>
      </c>
      <c r="G760" s="15">
        <v>30</v>
      </c>
      <c r="H760" s="12" t="s">
        <v>176</v>
      </c>
      <c r="I760" s="12" t="s">
        <v>30</v>
      </c>
      <c r="K760" s="16">
        <v>12.01</v>
      </c>
      <c r="L760" s="16">
        <v>18.84</v>
      </c>
      <c r="M760" s="16">
        <v>20.34</v>
      </c>
    </row>
    <row r="761" spans="1:13" outlineLevel="2" x14ac:dyDescent="0.2"/>
    <row r="762" spans="1:13" ht="33.75" outlineLevel="3" x14ac:dyDescent="0.2">
      <c r="B762" s="4" t="str">
        <f>"0005920090"</f>
        <v>0005920090</v>
      </c>
      <c r="C762" s="5" t="str">
        <f>"020940"</f>
        <v>020940</v>
      </c>
      <c r="D762" s="12" t="s">
        <v>175</v>
      </c>
      <c r="E762" s="14" t="s">
        <v>82</v>
      </c>
      <c r="F762" s="12" t="s">
        <v>3</v>
      </c>
      <c r="G762" s="15">
        <v>90</v>
      </c>
      <c r="H762" s="12" t="s">
        <v>176</v>
      </c>
      <c r="I762" s="12" t="s">
        <v>177</v>
      </c>
      <c r="K762" s="16">
        <v>32.78</v>
      </c>
      <c r="L762" s="16">
        <v>49.69</v>
      </c>
      <c r="M762" s="16">
        <v>51.69</v>
      </c>
    </row>
    <row r="763" spans="1:13" outlineLevel="3" x14ac:dyDescent="0.2">
      <c r="B763" s="4" t="str">
        <f>"0005920090"</f>
        <v>0005920090</v>
      </c>
      <c r="C763" s="5" t="str">
        <f>"042527"</f>
        <v>042527</v>
      </c>
      <c r="D763" s="12" t="s">
        <v>178</v>
      </c>
      <c r="E763" s="14" t="s">
        <v>544</v>
      </c>
      <c r="F763" s="12" t="s">
        <v>73</v>
      </c>
      <c r="G763" s="15">
        <v>90</v>
      </c>
      <c r="H763" s="12" t="s">
        <v>176</v>
      </c>
      <c r="I763" s="12" t="s">
        <v>5</v>
      </c>
      <c r="K763" s="16">
        <v>32.78</v>
      </c>
      <c r="L763" s="16">
        <v>49.69</v>
      </c>
      <c r="M763" s="16">
        <v>51.69</v>
      </c>
    </row>
    <row r="764" spans="1:13" ht="22.5" outlineLevel="3" x14ac:dyDescent="0.2">
      <c r="B764" s="4" t="str">
        <f>"0005920090"</f>
        <v>0005920090</v>
      </c>
      <c r="C764" s="5" t="str">
        <f>"163762"</f>
        <v>163762</v>
      </c>
      <c r="D764" s="12" t="s">
        <v>181</v>
      </c>
      <c r="E764" s="14" t="s">
        <v>544</v>
      </c>
      <c r="F764" s="12" t="s">
        <v>73</v>
      </c>
      <c r="G764" s="15">
        <v>90</v>
      </c>
      <c r="H764" s="12" t="s">
        <v>176</v>
      </c>
      <c r="I764" s="12" t="s">
        <v>68</v>
      </c>
      <c r="K764" s="16">
        <v>32.78</v>
      </c>
      <c r="L764" s="16">
        <v>49.69</v>
      </c>
      <c r="M764" s="16">
        <v>51.69</v>
      </c>
    </row>
    <row r="765" spans="1:13" outlineLevel="3" x14ac:dyDescent="0.2">
      <c r="B765" s="4" t="str">
        <f>"0005920090"</f>
        <v>0005920090</v>
      </c>
      <c r="C765" s="5" t="str">
        <f>"504368"</f>
        <v>504368</v>
      </c>
      <c r="D765" s="12" t="s">
        <v>180</v>
      </c>
      <c r="E765" s="14" t="s">
        <v>544</v>
      </c>
      <c r="F765" s="12" t="s">
        <v>73</v>
      </c>
      <c r="G765" s="15">
        <v>90</v>
      </c>
      <c r="H765" s="12" t="s">
        <v>176</v>
      </c>
      <c r="I765" s="12" t="s">
        <v>30</v>
      </c>
      <c r="K765" s="16">
        <v>32.78</v>
      </c>
      <c r="L765" s="16">
        <v>49.69</v>
      </c>
      <c r="M765" s="16">
        <v>51.69</v>
      </c>
    </row>
    <row r="766" spans="1:13" outlineLevel="1" x14ac:dyDescent="0.2">
      <c r="A766" s="3"/>
    </row>
    <row r="767" spans="1:13" outlineLevel="2" x14ac:dyDescent="0.2">
      <c r="A767" s="3" t="s">
        <v>1443</v>
      </c>
    </row>
    <row r="768" spans="1:13" outlineLevel="3" x14ac:dyDescent="0.2">
      <c r="B768" s="4" t="str">
        <f>"0001050100"</f>
        <v>0001050100</v>
      </c>
      <c r="C768" s="5" t="str">
        <f>"556873"</f>
        <v>556873</v>
      </c>
      <c r="D768" s="12" t="s">
        <v>182</v>
      </c>
      <c r="E768" s="14" t="s">
        <v>183</v>
      </c>
      <c r="F768" s="12" t="s">
        <v>73</v>
      </c>
      <c r="G768" s="15">
        <v>100</v>
      </c>
      <c r="H768" s="12" t="s">
        <v>184</v>
      </c>
      <c r="I768" s="12" t="s">
        <v>62</v>
      </c>
      <c r="K768" s="16">
        <v>3.97</v>
      </c>
      <c r="L768" s="16">
        <v>6.34</v>
      </c>
      <c r="M768" s="16">
        <v>7.84</v>
      </c>
    </row>
    <row r="769" spans="2:13" outlineLevel="2" x14ac:dyDescent="0.2"/>
    <row r="770" spans="2:13" outlineLevel="3" x14ac:dyDescent="0.2">
      <c r="B770" s="4" t="str">
        <f>"0001070030"</f>
        <v>0001070030</v>
      </c>
      <c r="C770" s="5" t="str">
        <f>"019246"</f>
        <v>019246</v>
      </c>
      <c r="D770" s="12" t="s">
        <v>185</v>
      </c>
      <c r="E770" s="14" t="s">
        <v>82</v>
      </c>
      <c r="F770" s="12" t="s">
        <v>73</v>
      </c>
      <c r="G770" s="15">
        <v>30</v>
      </c>
      <c r="H770" s="12" t="s">
        <v>184</v>
      </c>
      <c r="I770" s="12" t="s">
        <v>5</v>
      </c>
      <c r="J770" s="2" t="s">
        <v>1400</v>
      </c>
      <c r="K770" s="16">
        <v>2.98</v>
      </c>
      <c r="L770" s="16">
        <v>4.75</v>
      </c>
      <c r="M770" s="16">
        <v>5.9</v>
      </c>
    </row>
    <row r="771" spans="2:13" ht="22.5" outlineLevel="3" x14ac:dyDescent="0.2">
      <c r="B771" s="4" t="str">
        <f>"0001070030"</f>
        <v>0001070030</v>
      </c>
      <c r="C771" s="5" t="str">
        <f>"432084"</f>
        <v>432084</v>
      </c>
      <c r="D771" s="12" t="s">
        <v>188</v>
      </c>
      <c r="E771" s="14" t="s">
        <v>82</v>
      </c>
      <c r="F771" s="12" t="s">
        <v>73</v>
      </c>
      <c r="G771" s="15">
        <v>30</v>
      </c>
      <c r="H771" s="12" t="s">
        <v>184</v>
      </c>
      <c r="I771" s="12" t="s">
        <v>189</v>
      </c>
      <c r="K771" s="16">
        <v>2.98</v>
      </c>
      <c r="L771" s="16">
        <v>4.75</v>
      </c>
      <c r="M771" s="16">
        <v>5.9</v>
      </c>
    </row>
    <row r="772" spans="2:13" outlineLevel="3" x14ac:dyDescent="0.2">
      <c r="B772" s="4" t="str">
        <f>"0001070030"</f>
        <v>0001070030</v>
      </c>
      <c r="C772" s="5" t="str">
        <f>"005149"</f>
        <v>005149</v>
      </c>
      <c r="D772" s="12" t="s">
        <v>186</v>
      </c>
      <c r="E772" s="14" t="s">
        <v>82</v>
      </c>
      <c r="F772" s="12" t="s">
        <v>73</v>
      </c>
      <c r="G772" s="15">
        <v>28</v>
      </c>
      <c r="H772" s="12" t="s">
        <v>184</v>
      </c>
      <c r="I772" s="12" t="s">
        <v>187</v>
      </c>
      <c r="K772" s="16">
        <v>2.76</v>
      </c>
      <c r="L772" s="16">
        <v>4.4000000000000004</v>
      </c>
      <c r="M772" s="16">
        <v>5.9</v>
      </c>
    </row>
    <row r="773" spans="2:13" outlineLevel="3" x14ac:dyDescent="0.2">
      <c r="B773" s="4" t="str">
        <f>"0001070100"</f>
        <v>0001070100</v>
      </c>
      <c r="C773" s="5" t="str">
        <f>"019682"</f>
        <v>019682</v>
      </c>
      <c r="D773" s="12" t="s">
        <v>185</v>
      </c>
      <c r="E773" s="14" t="s">
        <v>82</v>
      </c>
      <c r="F773" s="12" t="s">
        <v>73</v>
      </c>
      <c r="G773" s="15">
        <v>100</v>
      </c>
      <c r="H773" s="12" t="s">
        <v>184</v>
      </c>
      <c r="I773" s="12" t="s">
        <v>5</v>
      </c>
      <c r="K773" s="16">
        <v>8.9600000000000009</v>
      </c>
      <c r="L773" s="16">
        <v>14.29</v>
      </c>
      <c r="M773" s="16">
        <v>15.5</v>
      </c>
    </row>
    <row r="774" spans="2:13" ht="22.5" outlineLevel="3" x14ac:dyDescent="0.2">
      <c r="B774" s="4" t="str">
        <f>"0001070100"</f>
        <v>0001070100</v>
      </c>
      <c r="C774" s="5" t="str">
        <f>"024168"</f>
        <v>024168</v>
      </c>
      <c r="D774" s="12" t="s">
        <v>190</v>
      </c>
      <c r="E774" s="14" t="s">
        <v>82</v>
      </c>
      <c r="F774" s="12" t="s">
        <v>73</v>
      </c>
      <c r="G774" s="15">
        <v>100</v>
      </c>
      <c r="H774" s="12" t="s">
        <v>184</v>
      </c>
      <c r="I774" s="12" t="s">
        <v>133</v>
      </c>
      <c r="K774" s="16">
        <v>8.9600000000000009</v>
      </c>
      <c r="L774" s="16">
        <v>14.29</v>
      </c>
      <c r="M774" s="16">
        <v>15.5</v>
      </c>
    </row>
    <row r="775" spans="2:13" outlineLevel="3" x14ac:dyDescent="0.2">
      <c r="B775" s="4" t="str">
        <f>"0001070100"</f>
        <v>0001070100</v>
      </c>
      <c r="C775" s="5" t="str">
        <f>"168036"</f>
        <v>168036</v>
      </c>
      <c r="D775" s="12" t="s">
        <v>182</v>
      </c>
      <c r="E775" s="14" t="s">
        <v>82</v>
      </c>
      <c r="F775" s="12" t="s">
        <v>73</v>
      </c>
      <c r="G775" s="15">
        <v>100</v>
      </c>
      <c r="H775" s="12" t="s">
        <v>184</v>
      </c>
      <c r="I775" s="12" t="s">
        <v>62</v>
      </c>
      <c r="K775" s="16">
        <v>8.9600000000000009</v>
      </c>
      <c r="L775" s="16">
        <v>14.29</v>
      </c>
      <c r="M775" s="16">
        <v>15.5</v>
      </c>
    </row>
    <row r="776" spans="2:13" ht="22.5" outlineLevel="3" x14ac:dyDescent="0.2">
      <c r="B776" s="4" t="str">
        <f>"0001070100"</f>
        <v>0001070100</v>
      </c>
      <c r="C776" s="5" t="str">
        <f>"374179"</f>
        <v>374179</v>
      </c>
      <c r="D776" s="12" t="s">
        <v>188</v>
      </c>
      <c r="E776" s="14" t="s">
        <v>82</v>
      </c>
      <c r="F776" s="12" t="s">
        <v>73</v>
      </c>
      <c r="G776" s="15">
        <v>100</v>
      </c>
      <c r="H776" s="12" t="s">
        <v>184</v>
      </c>
      <c r="I776" s="12" t="s">
        <v>189</v>
      </c>
      <c r="K776" s="16">
        <v>8.9600000000000009</v>
      </c>
      <c r="L776" s="16">
        <v>14.29</v>
      </c>
      <c r="M776" s="16">
        <v>15.5</v>
      </c>
    </row>
    <row r="777" spans="2:13" outlineLevel="3" x14ac:dyDescent="0.2">
      <c r="B777" s="4" t="str">
        <f>"0001070100"</f>
        <v>0001070100</v>
      </c>
      <c r="C777" s="5" t="str">
        <f>"005145"</f>
        <v>005145</v>
      </c>
      <c r="D777" s="12" t="s">
        <v>186</v>
      </c>
      <c r="E777" s="14" t="s">
        <v>82</v>
      </c>
      <c r="F777" s="12" t="s">
        <v>73</v>
      </c>
      <c r="G777" s="15">
        <v>98</v>
      </c>
      <c r="H777" s="12" t="s">
        <v>184</v>
      </c>
      <c r="I777" s="12" t="s">
        <v>187</v>
      </c>
      <c r="K777" s="16">
        <v>8.7799999999999994</v>
      </c>
      <c r="L777" s="16">
        <v>14</v>
      </c>
      <c r="M777" s="16">
        <v>15.5</v>
      </c>
    </row>
    <row r="778" spans="2:13" outlineLevel="2" x14ac:dyDescent="0.2"/>
    <row r="779" spans="2:13" outlineLevel="3" x14ac:dyDescent="0.2">
      <c r="B779" s="4" t="str">
        <f>"0001080030"</f>
        <v>0001080030</v>
      </c>
      <c r="C779" s="5" t="str">
        <f>"019712"</f>
        <v>019712</v>
      </c>
      <c r="D779" s="12" t="s">
        <v>185</v>
      </c>
      <c r="E779" s="14" t="s">
        <v>136</v>
      </c>
      <c r="F779" s="12" t="s">
        <v>73</v>
      </c>
      <c r="G779" s="15">
        <v>30</v>
      </c>
      <c r="H779" s="12" t="s">
        <v>184</v>
      </c>
      <c r="I779" s="12" t="s">
        <v>5</v>
      </c>
      <c r="J779" s="2" t="s">
        <v>1400</v>
      </c>
      <c r="K779" s="16">
        <v>1.92</v>
      </c>
      <c r="L779" s="16">
        <v>3.06</v>
      </c>
      <c r="M779" s="16">
        <v>4.33</v>
      </c>
    </row>
    <row r="780" spans="2:13" outlineLevel="3" x14ac:dyDescent="0.2">
      <c r="B780" s="4" t="str">
        <f>"0001080030"</f>
        <v>0001080030</v>
      </c>
      <c r="C780" s="5" t="str">
        <f>"019965"</f>
        <v>019965</v>
      </c>
      <c r="D780" s="12" t="s">
        <v>182</v>
      </c>
      <c r="E780" s="14" t="s">
        <v>136</v>
      </c>
      <c r="F780" s="12" t="s">
        <v>73</v>
      </c>
      <c r="G780" s="15">
        <v>30</v>
      </c>
      <c r="H780" s="12" t="s">
        <v>184</v>
      </c>
      <c r="I780" s="12" t="s">
        <v>62</v>
      </c>
      <c r="K780" s="16">
        <v>1.92</v>
      </c>
      <c r="L780" s="16">
        <v>3.06</v>
      </c>
      <c r="M780" s="16">
        <v>4.33</v>
      </c>
    </row>
    <row r="781" spans="2:13" outlineLevel="3" x14ac:dyDescent="0.2">
      <c r="B781" s="4" t="str">
        <f>"0001080030"</f>
        <v>0001080030</v>
      </c>
      <c r="C781" s="5" t="str">
        <f>"402842"</f>
        <v>402842</v>
      </c>
      <c r="D781" s="12" t="s">
        <v>186</v>
      </c>
      <c r="E781" s="14" t="s">
        <v>136</v>
      </c>
      <c r="F781" s="12" t="s">
        <v>73</v>
      </c>
      <c r="G781" s="15">
        <v>28</v>
      </c>
      <c r="H781" s="12" t="s">
        <v>184</v>
      </c>
      <c r="I781" s="12" t="s">
        <v>187</v>
      </c>
      <c r="K781" s="16">
        <v>1.77</v>
      </c>
      <c r="L781" s="16">
        <v>2.83</v>
      </c>
      <c r="M781" s="16">
        <v>4.33</v>
      </c>
    </row>
    <row r="782" spans="2:13" outlineLevel="2" x14ac:dyDescent="0.2"/>
    <row r="783" spans="2:13" outlineLevel="3" x14ac:dyDescent="0.2">
      <c r="B783" s="4" t="str">
        <f>"0001080100"</f>
        <v>0001080100</v>
      </c>
      <c r="C783" s="5" t="str">
        <f>"021165"</f>
        <v>021165</v>
      </c>
      <c r="D783" s="12" t="s">
        <v>182</v>
      </c>
      <c r="E783" s="14" t="s">
        <v>136</v>
      </c>
      <c r="F783" s="12" t="s">
        <v>73</v>
      </c>
      <c r="G783" s="15" t="s">
        <v>123</v>
      </c>
      <c r="H783" s="12" t="s">
        <v>184</v>
      </c>
      <c r="I783" s="12" t="s">
        <v>62</v>
      </c>
      <c r="J783" s="2" t="s">
        <v>1400</v>
      </c>
      <c r="K783" s="16">
        <v>5.76</v>
      </c>
      <c r="L783" s="16">
        <v>9.19</v>
      </c>
      <c r="M783" s="16">
        <v>10.5</v>
      </c>
    </row>
    <row r="784" spans="2:13" outlineLevel="3" x14ac:dyDescent="0.2">
      <c r="B784" s="4" t="str">
        <f>"0001080100"</f>
        <v>0001080100</v>
      </c>
      <c r="C784" s="5" t="str">
        <f>"019669"</f>
        <v>019669</v>
      </c>
      <c r="D784" s="12" t="s">
        <v>185</v>
      </c>
      <c r="E784" s="14" t="s">
        <v>136</v>
      </c>
      <c r="F784" s="12" t="s">
        <v>73</v>
      </c>
      <c r="G784" s="15">
        <v>100</v>
      </c>
      <c r="H784" s="12" t="s">
        <v>184</v>
      </c>
      <c r="I784" s="12" t="s">
        <v>5</v>
      </c>
      <c r="K784" s="16">
        <v>5.76</v>
      </c>
      <c r="L784" s="16">
        <v>9.19</v>
      </c>
      <c r="M784" s="16">
        <v>10.5</v>
      </c>
    </row>
    <row r="785" spans="2:13" ht="22.5" outlineLevel="3" x14ac:dyDescent="0.2">
      <c r="B785" s="4" t="str">
        <f>"0001080100"</f>
        <v>0001080100</v>
      </c>
      <c r="C785" s="5" t="str">
        <f>"024143"</f>
        <v>024143</v>
      </c>
      <c r="D785" s="12" t="s">
        <v>190</v>
      </c>
      <c r="E785" s="14" t="s">
        <v>136</v>
      </c>
      <c r="F785" s="12" t="s">
        <v>73</v>
      </c>
      <c r="G785" s="15">
        <v>100</v>
      </c>
      <c r="H785" s="12" t="s">
        <v>184</v>
      </c>
      <c r="I785" s="12" t="s">
        <v>133</v>
      </c>
      <c r="K785" s="16">
        <v>5.76</v>
      </c>
      <c r="L785" s="16">
        <v>9.19</v>
      </c>
      <c r="M785" s="16">
        <v>10.5</v>
      </c>
    </row>
    <row r="786" spans="2:13" outlineLevel="3" x14ac:dyDescent="0.2">
      <c r="B786" s="4" t="str">
        <f>"0001080100"</f>
        <v>0001080100</v>
      </c>
      <c r="C786" s="5" t="str">
        <f>"588328"</f>
        <v>588328</v>
      </c>
      <c r="D786" s="12" t="s">
        <v>182</v>
      </c>
      <c r="E786" s="14" t="s">
        <v>136</v>
      </c>
      <c r="F786" s="12" t="s">
        <v>73</v>
      </c>
      <c r="G786" s="15">
        <v>100</v>
      </c>
      <c r="H786" s="12" t="s">
        <v>184</v>
      </c>
      <c r="I786" s="12" t="s">
        <v>62</v>
      </c>
      <c r="K786" s="16">
        <v>5.76</v>
      </c>
      <c r="L786" s="16">
        <v>9.19</v>
      </c>
      <c r="M786" s="16">
        <v>10.5</v>
      </c>
    </row>
    <row r="787" spans="2:13" outlineLevel="3" x14ac:dyDescent="0.2">
      <c r="B787" s="4" t="str">
        <f>"0001080100"</f>
        <v>0001080100</v>
      </c>
      <c r="C787" s="5" t="str">
        <f>"402859"</f>
        <v>402859</v>
      </c>
      <c r="D787" s="12" t="s">
        <v>186</v>
      </c>
      <c r="E787" s="14" t="s">
        <v>136</v>
      </c>
      <c r="F787" s="12" t="s">
        <v>73</v>
      </c>
      <c r="G787" s="15">
        <v>98</v>
      </c>
      <c r="H787" s="12" t="s">
        <v>184</v>
      </c>
      <c r="I787" s="12" t="s">
        <v>187</v>
      </c>
      <c r="K787" s="16">
        <v>5.64</v>
      </c>
      <c r="L787" s="16">
        <v>9</v>
      </c>
      <c r="M787" s="16">
        <v>10.5</v>
      </c>
    </row>
    <row r="788" spans="2:13" outlineLevel="3" x14ac:dyDescent="0.2">
      <c r="B788" s="4" t="str">
        <f>"0001080500"</f>
        <v>0001080500</v>
      </c>
      <c r="C788" s="5" t="str">
        <f>"599563"</f>
        <v>599563</v>
      </c>
      <c r="D788" s="12" t="s">
        <v>182</v>
      </c>
      <c r="E788" s="14" t="s">
        <v>136</v>
      </c>
      <c r="F788" s="12" t="s">
        <v>73</v>
      </c>
      <c r="G788" s="15">
        <v>500</v>
      </c>
      <c r="H788" s="12" t="s">
        <v>184</v>
      </c>
      <c r="I788" s="12" t="s">
        <v>62</v>
      </c>
      <c r="K788" s="16">
        <v>27.36</v>
      </c>
      <c r="L788" s="16">
        <v>41.65</v>
      </c>
      <c r="M788" s="16">
        <v>43.65</v>
      </c>
    </row>
    <row r="789" spans="2:13" outlineLevel="2" x14ac:dyDescent="0.2"/>
    <row r="790" spans="2:13" outlineLevel="3" x14ac:dyDescent="0.2">
      <c r="B790" s="4" t="str">
        <f>"0001090030"</f>
        <v>0001090030</v>
      </c>
      <c r="C790" s="5" t="str">
        <f>"019987"</f>
        <v>019987</v>
      </c>
      <c r="D790" s="12" t="s">
        <v>182</v>
      </c>
      <c r="E790" s="14" t="s">
        <v>111</v>
      </c>
      <c r="F790" s="12" t="s">
        <v>73</v>
      </c>
      <c r="G790" s="15">
        <v>30</v>
      </c>
      <c r="H790" s="12" t="s">
        <v>184</v>
      </c>
      <c r="I790" s="12" t="s">
        <v>62</v>
      </c>
      <c r="J790" s="2" t="s">
        <v>1400</v>
      </c>
      <c r="K790" s="16">
        <v>2.06</v>
      </c>
      <c r="L790" s="16">
        <v>3.29</v>
      </c>
      <c r="M790" s="16">
        <v>4.55</v>
      </c>
    </row>
    <row r="791" spans="2:13" outlineLevel="3" x14ac:dyDescent="0.2">
      <c r="B791" s="4" t="str">
        <f>"0001090030"</f>
        <v>0001090030</v>
      </c>
      <c r="C791" s="5" t="str">
        <f>"019697"</f>
        <v>019697</v>
      </c>
      <c r="D791" s="12" t="s">
        <v>185</v>
      </c>
      <c r="E791" s="14" t="s">
        <v>111</v>
      </c>
      <c r="F791" s="12" t="s">
        <v>73</v>
      </c>
      <c r="G791" s="15">
        <v>30</v>
      </c>
      <c r="H791" s="12" t="s">
        <v>184</v>
      </c>
      <c r="I791" s="12" t="s">
        <v>5</v>
      </c>
      <c r="K791" s="16">
        <v>2.06</v>
      </c>
      <c r="L791" s="16">
        <v>3.29</v>
      </c>
      <c r="M791" s="16">
        <v>4.55</v>
      </c>
    </row>
    <row r="792" spans="2:13" ht="22.5" outlineLevel="3" x14ac:dyDescent="0.2">
      <c r="B792" s="4" t="str">
        <f>"0001090030"</f>
        <v>0001090030</v>
      </c>
      <c r="C792" s="5" t="str">
        <f>"093719"</f>
        <v>093719</v>
      </c>
      <c r="D792" s="12" t="s">
        <v>188</v>
      </c>
      <c r="E792" s="14" t="s">
        <v>111</v>
      </c>
      <c r="F792" s="12" t="s">
        <v>73</v>
      </c>
      <c r="G792" s="15">
        <v>30</v>
      </c>
      <c r="H792" s="12" t="s">
        <v>184</v>
      </c>
      <c r="I792" s="12" t="s">
        <v>189</v>
      </c>
      <c r="K792" s="16">
        <v>2.06</v>
      </c>
      <c r="L792" s="16">
        <v>3.29</v>
      </c>
      <c r="M792" s="16">
        <v>4.55</v>
      </c>
    </row>
    <row r="793" spans="2:13" outlineLevel="3" x14ac:dyDescent="0.2">
      <c r="B793" s="4" t="str">
        <f>"0001090030"</f>
        <v>0001090030</v>
      </c>
      <c r="C793" s="5" t="str">
        <f>"402917"</f>
        <v>402917</v>
      </c>
      <c r="D793" s="12" t="s">
        <v>186</v>
      </c>
      <c r="E793" s="14" t="s">
        <v>111</v>
      </c>
      <c r="F793" s="12" t="s">
        <v>73</v>
      </c>
      <c r="G793" s="15">
        <v>28</v>
      </c>
      <c r="H793" s="12" t="s">
        <v>184</v>
      </c>
      <c r="I793" s="12" t="s">
        <v>187</v>
      </c>
      <c r="K793" s="16">
        <v>1.91</v>
      </c>
      <c r="L793" s="16">
        <v>3.05</v>
      </c>
      <c r="M793" s="16">
        <v>4.55</v>
      </c>
    </row>
    <row r="794" spans="2:13" outlineLevel="2" x14ac:dyDescent="0.2"/>
    <row r="795" spans="2:13" outlineLevel="3" x14ac:dyDescent="0.2">
      <c r="B795" s="4" t="str">
        <f>"0001090100"</f>
        <v>0001090100</v>
      </c>
      <c r="C795" s="5" t="str">
        <f>"021176"</f>
        <v>021176</v>
      </c>
      <c r="D795" s="12" t="s">
        <v>182</v>
      </c>
      <c r="E795" s="14" t="s">
        <v>111</v>
      </c>
      <c r="F795" s="12" t="s">
        <v>73</v>
      </c>
      <c r="G795" s="15" t="s">
        <v>123</v>
      </c>
      <c r="H795" s="12" t="s">
        <v>184</v>
      </c>
      <c r="I795" s="12" t="s">
        <v>62</v>
      </c>
      <c r="J795" s="2" t="s">
        <v>1400</v>
      </c>
      <c r="K795" s="16">
        <v>6.2</v>
      </c>
      <c r="L795" s="16">
        <v>9.89</v>
      </c>
      <c r="M795" s="16">
        <v>11.18</v>
      </c>
    </row>
    <row r="796" spans="2:13" outlineLevel="3" x14ac:dyDescent="0.2">
      <c r="B796" s="4" t="str">
        <f>"0001090100"</f>
        <v>0001090100</v>
      </c>
      <c r="C796" s="5" t="str">
        <f>"019621"</f>
        <v>019621</v>
      </c>
      <c r="D796" s="12" t="s">
        <v>185</v>
      </c>
      <c r="E796" s="14" t="s">
        <v>111</v>
      </c>
      <c r="F796" s="12" t="s">
        <v>73</v>
      </c>
      <c r="G796" s="15">
        <v>100</v>
      </c>
      <c r="H796" s="12" t="s">
        <v>184</v>
      </c>
      <c r="I796" s="12" t="s">
        <v>5</v>
      </c>
      <c r="K796" s="16">
        <v>6.2</v>
      </c>
      <c r="L796" s="16">
        <v>9.89</v>
      </c>
      <c r="M796" s="16">
        <v>11.18</v>
      </c>
    </row>
    <row r="797" spans="2:13" ht="22.5" outlineLevel="3" x14ac:dyDescent="0.2">
      <c r="B797" s="4" t="str">
        <f>"0001090100"</f>
        <v>0001090100</v>
      </c>
      <c r="C797" s="5" t="str">
        <f>"024146"</f>
        <v>024146</v>
      </c>
      <c r="D797" s="12" t="s">
        <v>190</v>
      </c>
      <c r="E797" s="14" t="s">
        <v>111</v>
      </c>
      <c r="F797" s="12" t="s">
        <v>73</v>
      </c>
      <c r="G797" s="15">
        <v>100</v>
      </c>
      <c r="H797" s="12" t="s">
        <v>184</v>
      </c>
      <c r="I797" s="12" t="s">
        <v>133</v>
      </c>
      <c r="K797" s="16">
        <v>6.2</v>
      </c>
      <c r="L797" s="16">
        <v>9.89</v>
      </c>
      <c r="M797" s="16">
        <v>11.18</v>
      </c>
    </row>
    <row r="798" spans="2:13" ht="22.5" outlineLevel="3" x14ac:dyDescent="0.2">
      <c r="B798" s="4" t="str">
        <f>"0001090100"</f>
        <v>0001090100</v>
      </c>
      <c r="C798" s="5" t="str">
        <f>"384410"</f>
        <v>384410</v>
      </c>
      <c r="D798" s="12" t="s">
        <v>188</v>
      </c>
      <c r="E798" s="14" t="s">
        <v>111</v>
      </c>
      <c r="F798" s="12" t="s">
        <v>73</v>
      </c>
      <c r="G798" s="15">
        <v>100</v>
      </c>
      <c r="H798" s="12" t="s">
        <v>184</v>
      </c>
      <c r="I798" s="12" t="s">
        <v>189</v>
      </c>
      <c r="K798" s="16">
        <v>6.2</v>
      </c>
      <c r="L798" s="16">
        <v>9.89</v>
      </c>
      <c r="M798" s="16">
        <v>11.18</v>
      </c>
    </row>
    <row r="799" spans="2:13" outlineLevel="3" x14ac:dyDescent="0.2">
      <c r="B799" s="4" t="str">
        <f>"0001090100"</f>
        <v>0001090100</v>
      </c>
      <c r="C799" s="5" t="str">
        <f>"403048"</f>
        <v>403048</v>
      </c>
      <c r="D799" s="12" t="s">
        <v>186</v>
      </c>
      <c r="E799" s="14" t="s">
        <v>111</v>
      </c>
      <c r="F799" s="12" t="s">
        <v>73</v>
      </c>
      <c r="G799" s="15">
        <v>98</v>
      </c>
      <c r="H799" s="12" t="s">
        <v>184</v>
      </c>
      <c r="I799" s="12" t="s">
        <v>187</v>
      </c>
      <c r="K799" s="16">
        <v>6.07</v>
      </c>
      <c r="L799" s="16">
        <v>9.68</v>
      </c>
      <c r="M799" s="16">
        <v>11.18</v>
      </c>
    </row>
    <row r="800" spans="2:13" outlineLevel="2" x14ac:dyDescent="0.2"/>
    <row r="801" spans="1:13" outlineLevel="3" x14ac:dyDescent="0.2">
      <c r="B801" s="4" t="str">
        <f>"0001090500"</f>
        <v>0001090500</v>
      </c>
      <c r="C801" s="5" t="str">
        <f>"526474"</f>
        <v>526474</v>
      </c>
      <c r="D801" s="12" t="s">
        <v>182</v>
      </c>
      <c r="E801" s="14" t="s">
        <v>111</v>
      </c>
      <c r="F801" s="12" t="s">
        <v>73</v>
      </c>
      <c r="G801" s="15">
        <v>500</v>
      </c>
      <c r="H801" s="12" t="s">
        <v>184</v>
      </c>
      <c r="I801" s="12" t="s">
        <v>62</v>
      </c>
      <c r="K801" s="16">
        <v>29.45</v>
      </c>
      <c r="L801" s="16">
        <v>44.75</v>
      </c>
      <c r="M801" s="16">
        <v>46.75</v>
      </c>
    </row>
    <row r="802" spans="1:13" outlineLevel="1" x14ac:dyDescent="0.2">
      <c r="A802" s="3"/>
    </row>
    <row r="803" spans="1:13" outlineLevel="2" x14ac:dyDescent="0.2">
      <c r="A803" s="3" t="s">
        <v>1444</v>
      </c>
    </row>
    <row r="804" spans="1:13" ht="22.5" outlineLevel="3" x14ac:dyDescent="0.2">
      <c r="B804" s="4" t="str">
        <f>"0001160030"</f>
        <v>0001160030</v>
      </c>
      <c r="C804" s="5" t="str">
        <f>"037937"</f>
        <v>037937</v>
      </c>
      <c r="D804" s="12" t="s">
        <v>191</v>
      </c>
      <c r="E804" s="14" t="s">
        <v>192</v>
      </c>
      <c r="F804" s="12" t="s">
        <v>73</v>
      </c>
      <c r="G804" s="15">
        <v>30</v>
      </c>
      <c r="H804" s="12" t="s">
        <v>193</v>
      </c>
      <c r="I804" s="12" t="s">
        <v>6</v>
      </c>
      <c r="K804" s="16">
        <v>5.58</v>
      </c>
      <c r="L804" s="16">
        <v>8.9</v>
      </c>
      <c r="M804" s="16">
        <v>9.81</v>
      </c>
    </row>
    <row r="805" spans="1:13" ht="22.5" outlineLevel="3" x14ac:dyDescent="0.2">
      <c r="B805" s="4" t="str">
        <f>"0001160030"</f>
        <v>0001160030</v>
      </c>
      <c r="C805" s="5" t="str">
        <f>"377139"</f>
        <v>377139</v>
      </c>
      <c r="D805" s="12" t="s">
        <v>194</v>
      </c>
      <c r="E805" s="14" t="s">
        <v>192</v>
      </c>
      <c r="F805" s="12" t="s">
        <v>73</v>
      </c>
      <c r="G805" s="15">
        <v>30</v>
      </c>
      <c r="H805" s="12" t="s">
        <v>193</v>
      </c>
      <c r="I805" s="12" t="s">
        <v>28</v>
      </c>
      <c r="K805" s="16">
        <v>5.58</v>
      </c>
      <c r="L805" s="16">
        <v>8.9</v>
      </c>
      <c r="M805" s="16">
        <v>9.81</v>
      </c>
    </row>
    <row r="806" spans="1:13" ht="22.5" outlineLevel="3" x14ac:dyDescent="0.2">
      <c r="B806" s="4" t="str">
        <f>"0001160030"</f>
        <v>0001160030</v>
      </c>
      <c r="C806" s="5" t="str">
        <f>"476146"</f>
        <v>476146</v>
      </c>
      <c r="D806" s="12" t="s">
        <v>196</v>
      </c>
      <c r="E806" s="14" t="s">
        <v>192</v>
      </c>
      <c r="F806" s="12" t="s">
        <v>73</v>
      </c>
      <c r="G806" s="15">
        <v>30</v>
      </c>
      <c r="H806" s="12" t="s">
        <v>193</v>
      </c>
      <c r="I806" s="12" t="s">
        <v>62</v>
      </c>
      <c r="K806" s="16">
        <v>5.58</v>
      </c>
      <c r="L806" s="16">
        <v>8.9</v>
      </c>
      <c r="M806" s="16">
        <v>9.81</v>
      </c>
    </row>
    <row r="807" spans="1:13" ht="22.5" outlineLevel="3" x14ac:dyDescent="0.2">
      <c r="B807" s="4" t="str">
        <f>"0001160030"</f>
        <v>0001160030</v>
      </c>
      <c r="C807" s="5" t="str">
        <f>"446385"</f>
        <v>446385</v>
      </c>
      <c r="D807" s="12" t="s">
        <v>195</v>
      </c>
      <c r="E807" s="14" t="s">
        <v>192</v>
      </c>
      <c r="F807" s="12" t="s">
        <v>73</v>
      </c>
      <c r="G807" s="15">
        <v>28</v>
      </c>
      <c r="H807" s="12" t="s">
        <v>193</v>
      </c>
      <c r="I807" s="12" t="s">
        <v>170</v>
      </c>
      <c r="K807" s="16">
        <v>5.21</v>
      </c>
      <c r="L807" s="16">
        <v>8.31</v>
      </c>
      <c r="M807" s="16">
        <v>9.81</v>
      </c>
    </row>
    <row r="808" spans="1:13" outlineLevel="2" x14ac:dyDescent="0.2"/>
    <row r="809" spans="1:13" ht="22.5" outlineLevel="3" x14ac:dyDescent="0.2">
      <c r="B809" s="4" t="str">
        <f>"0001160100"</f>
        <v>0001160100</v>
      </c>
      <c r="C809" s="5" t="str">
        <f>"034124"</f>
        <v>034124</v>
      </c>
      <c r="D809" s="12" t="s">
        <v>191</v>
      </c>
      <c r="E809" s="14" t="s">
        <v>192</v>
      </c>
      <c r="F809" s="12" t="s">
        <v>73</v>
      </c>
      <c r="G809" s="15">
        <v>100</v>
      </c>
      <c r="H809" s="12" t="s">
        <v>193</v>
      </c>
      <c r="I809" s="12" t="s">
        <v>6</v>
      </c>
      <c r="K809" s="16">
        <v>17.100000000000001</v>
      </c>
      <c r="L809" s="16">
        <v>26.41</v>
      </c>
      <c r="M809" s="16">
        <v>27.36</v>
      </c>
    </row>
    <row r="810" spans="1:13" ht="22.5" outlineLevel="3" x14ac:dyDescent="0.2">
      <c r="B810" s="4" t="str">
        <f>"0001160100"</f>
        <v>0001160100</v>
      </c>
      <c r="C810" s="5" t="str">
        <f>"195323"</f>
        <v>195323</v>
      </c>
      <c r="D810" s="12" t="s">
        <v>194</v>
      </c>
      <c r="E810" s="14" t="s">
        <v>192</v>
      </c>
      <c r="F810" s="12" t="s">
        <v>73</v>
      </c>
      <c r="G810" s="15">
        <v>100</v>
      </c>
      <c r="H810" s="12" t="s">
        <v>193</v>
      </c>
      <c r="I810" s="12" t="s">
        <v>28</v>
      </c>
      <c r="K810" s="16">
        <v>17.100000000000001</v>
      </c>
      <c r="L810" s="16">
        <v>26.41</v>
      </c>
      <c r="M810" s="16">
        <v>27.36</v>
      </c>
    </row>
    <row r="811" spans="1:13" ht="22.5" outlineLevel="3" x14ac:dyDescent="0.2">
      <c r="B811" s="4" t="str">
        <f>"0001160100"</f>
        <v>0001160100</v>
      </c>
      <c r="C811" s="5" t="str">
        <f>"446393"</f>
        <v>446393</v>
      </c>
      <c r="D811" s="12" t="s">
        <v>195</v>
      </c>
      <c r="E811" s="14" t="s">
        <v>192</v>
      </c>
      <c r="F811" s="12" t="s">
        <v>73</v>
      </c>
      <c r="G811" s="15">
        <v>98</v>
      </c>
      <c r="H811" s="12" t="s">
        <v>193</v>
      </c>
      <c r="I811" s="12" t="s">
        <v>170</v>
      </c>
      <c r="K811" s="16">
        <v>16.760000000000002</v>
      </c>
      <c r="L811" s="16">
        <v>25.91</v>
      </c>
      <c r="M811" s="16">
        <v>27.36</v>
      </c>
    </row>
    <row r="812" spans="1:13" ht="22.5" outlineLevel="3" x14ac:dyDescent="0.2">
      <c r="B812" s="4" t="str">
        <f>"0001160100"</f>
        <v>0001160100</v>
      </c>
      <c r="C812" s="5" t="str">
        <f>"441765"</f>
        <v>441765</v>
      </c>
      <c r="D812" s="12" t="s">
        <v>196</v>
      </c>
      <c r="E812" s="14" t="s">
        <v>192</v>
      </c>
      <c r="F812" s="12" t="s">
        <v>73</v>
      </c>
      <c r="G812" s="15">
        <v>100</v>
      </c>
      <c r="H812" s="12" t="s">
        <v>193</v>
      </c>
      <c r="I812" s="12" t="s">
        <v>62</v>
      </c>
      <c r="K812" s="16">
        <v>16.73</v>
      </c>
      <c r="L812" s="16">
        <v>25.86</v>
      </c>
      <c r="M812" s="16">
        <v>27.36</v>
      </c>
    </row>
    <row r="813" spans="1:13" outlineLevel="1" x14ac:dyDescent="0.2">
      <c r="A813" s="3"/>
    </row>
    <row r="814" spans="1:13" outlineLevel="2" x14ac:dyDescent="0.2">
      <c r="A814" s="3" t="s">
        <v>1445</v>
      </c>
    </row>
    <row r="815" spans="1:13" ht="22.5" outlineLevel="3" x14ac:dyDescent="0.2">
      <c r="B815" s="4" t="str">
        <f>"0001170100"</f>
        <v>0001170100</v>
      </c>
      <c r="C815" s="5" t="str">
        <f>"159673"</f>
        <v>159673</v>
      </c>
      <c r="D815" s="12" t="s">
        <v>197</v>
      </c>
      <c r="E815" s="14" t="s">
        <v>192</v>
      </c>
      <c r="F815" s="12" t="s">
        <v>73</v>
      </c>
      <c r="G815" s="15">
        <v>100</v>
      </c>
      <c r="H815" s="12" t="s">
        <v>198</v>
      </c>
      <c r="I815" s="12" t="s">
        <v>58</v>
      </c>
      <c r="K815" s="16">
        <v>25.37</v>
      </c>
      <c r="L815" s="16">
        <v>38.69</v>
      </c>
      <c r="M815" s="16">
        <v>40.19</v>
      </c>
    </row>
    <row r="816" spans="1:13" outlineLevel="1" x14ac:dyDescent="0.2">
      <c r="A816" s="3"/>
    </row>
    <row r="817" spans="1:13" outlineLevel="2" x14ac:dyDescent="0.2">
      <c r="A817" s="3" t="s">
        <v>1446</v>
      </c>
    </row>
    <row r="818" spans="1:13" ht="22.5" outlineLevel="3" x14ac:dyDescent="0.2">
      <c r="B818" s="4" t="str">
        <f>"0009840030"</f>
        <v>0009840030</v>
      </c>
      <c r="C818" s="5" t="str">
        <f>"082899"</f>
        <v>082899</v>
      </c>
      <c r="D818" s="12" t="s">
        <v>1002</v>
      </c>
      <c r="E818" s="14" t="s">
        <v>1003</v>
      </c>
      <c r="F818" s="12" t="s">
        <v>73</v>
      </c>
      <c r="G818" s="15">
        <v>30</v>
      </c>
      <c r="H818" s="12" t="s">
        <v>1004</v>
      </c>
      <c r="I818" s="12" t="s">
        <v>30</v>
      </c>
      <c r="K818" s="16">
        <v>6.83</v>
      </c>
      <c r="L818" s="16">
        <v>10.89</v>
      </c>
      <c r="M818" s="16">
        <v>12.39</v>
      </c>
    </row>
    <row r="819" spans="1:13" ht="33.75" outlineLevel="3" x14ac:dyDescent="0.2">
      <c r="B819" s="4" t="str">
        <f>"0009840030"</f>
        <v>0009840030</v>
      </c>
      <c r="C819" s="5" t="str">
        <f>"087378"</f>
        <v>087378</v>
      </c>
      <c r="D819" s="12" t="s">
        <v>1005</v>
      </c>
      <c r="E819" s="14" t="s">
        <v>1006</v>
      </c>
      <c r="F819" s="12" t="s">
        <v>3</v>
      </c>
      <c r="G819" s="15">
        <v>30</v>
      </c>
      <c r="H819" s="12" t="s">
        <v>1004</v>
      </c>
      <c r="I819" s="12" t="s">
        <v>177</v>
      </c>
      <c r="K819" s="16">
        <v>6.83</v>
      </c>
      <c r="L819" s="16">
        <v>10.89</v>
      </c>
      <c r="M819" s="16">
        <v>12.39</v>
      </c>
    </row>
    <row r="820" spans="1:13" outlineLevel="2" x14ac:dyDescent="0.2"/>
    <row r="821" spans="1:13" ht="22.5" outlineLevel="3" x14ac:dyDescent="0.2">
      <c r="B821" s="4" t="str">
        <f>"0009840090"</f>
        <v>0009840090</v>
      </c>
      <c r="C821" s="5" t="str">
        <f>"082910"</f>
        <v>082910</v>
      </c>
      <c r="D821" s="12" t="s">
        <v>1002</v>
      </c>
      <c r="E821" s="14" t="s">
        <v>1003</v>
      </c>
      <c r="F821" s="12" t="s">
        <v>73</v>
      </c>
      <c r="G821" s="15">
        <v>90</v>
      </c>
      <c r="H821" s="12" t="s">
        <v>1004</v>
      </c>
      <c r="I821" s="12" t="s">
        <v>30</v>
      </c>
      <c r="K821" s="16">
        <v>18.66</v>
      </c>
      <c r="L821" s="16">
        <v>28.72</v>
      </c>
      <c r="M821" s="16">
        <v>30.22</v>
      </c>
    </row>
    <row r="822" spans="1:13" ht="33.75" outlineLevel="3" x14ac:dyDescent="0.2">
      <c r="B822" s="4" t="str">
        <f>"0009840090"</f>
        <v>0009840090</v>
      </c>
      <c r="C822" s="5" t="str">
        <f>"087388"</f>
        <v>087388</v>
      </c>
      <c r="D822" s="12" t="s">
        <v>1005</v>
      </c>
      <c r="E822" s="14" t="s">
        <v>1006</v>
      </c>
      <c r="F822" s="12" t="s">
        <v>3</v>
      </c>
      <c r="G822" s="15">
        <v>90</v>
      </c>
      <c r="H822" s="12" t="s">
        <v>1004</v>
      </c>
      <c r="I822" s="12" t="s">
        <v>177</v>
      </c>
      <c r="K822" s="16">
        <v>18.66</v>
      </c>
      <c r="L822" s="16">
        <v>28.72</v>
      </c>
      <c r="M822" s="16">
        <v>30.22</v>
      </c>
    </row>
    <row r="823" spans="1:13" ht="22.5" outlineLevel="3" x14ac:dyDescent="0.2">
      <c r="B823" s="4" t="str">
        <f>"0009840090"</f>
        <v>0009840090</v>
      </c>
      <c r="C823" s="5" t="str">
        <f>"460528"</f>
        <v>460528</v>
      </c>
      <c r="D823" s="12" t="s">
        <v>1007</v>
      </c>
      <c r="E823" s="14" t="s">
        <v>1003</v>
      </c>
      <c r="F823" s="12" t="s">
        <v>73</v>
      </c>
      <c r="G823" s="15">
        <v>90</v>
      </c>
      <c r="H823" s="12" t="s">
        <v>1004</v>
      </c>
      <c r="I823" s="12" t="s">
        <v>70</v>
      </c>
      <c r="K823" s="16">
        <v>18.66</v>
      </c>
      <c r="L823" s="16">
        <v>28.72</v>
      </c>
      <c r="M823" s="16">
        <v>30.22</v>
      </c>
    </row>
    <row r="824" spans="1:13" outlineLevel="2" x14ac:dyDescent="0.2"/>
    <row r="825" spans="1:13" ht="33.75" outlineLevel="3" x14ac:dyDescent="0.2">
      <c r="B825" s="4" t="str">
        <f>"0011000030"</f>
        <v>0011000030</v>
      </c>
      <c r="C825" s="5" t="str">
        <f>"034910"</f>
        <v>034910</v>
      </c>
      <c r="D825" s="12" t="s">
        <v>1005</v>
      </c>
      <c r="E825" s="14" t="s">
        <v>1091</v>
      </c>
      <c r="F825" s="12" t="s">
        <v>3</v>
      </c>
      <c r="G825" s="15">
        <v>30</v>
      </c>
      <c r="H825" s="12" t="s">
        <v>1004</v>
      </c>
      <c r="I825" s="12" t="s">
        <v>177</v>
      </c>
      <c r="K825" s="16">
        <v>12.3</v>
      </c>
      <c r="L825" s="16">
        <v>19.28</v>
      </c>
      <c r="M825" s="16">
        <v>20.78</v>
      </c>
    </row>
    <row r="826" spans="1:13" ht="22.5" outlineLevel="3" x14ac:dyDescent="0.2">
      <c r="B826" s="4" t="str">
        <f>"0011000030"</f>
        <v>0011000030</v>
      </c>
      <c r="C826" s="5" t="str">
        <f>"153201"</f>
        <v>153201</v>
      </c>
      <c r="D826" s="12" t="s">
        <v>1002</v>
      </c>
      <c r="E826" s="14" t="s">
        <v>1092</v>
      </c>
      <c r="F826" s="12" t="s">
        <v>73</v>
      </c>
      <c r="G826" s="15">
        <v>30</v>
      </c>
      <c r="H826" s="12" t="s">
        <v>1004</v>
      </c>
      <c r="I826" s="12" t="s">
        <v>30</v>
      </c>
      <c r="K826" s="16">
        <v>12.3</v>
      </c>
      <c r="L826" s="16">
        <v>19.28</v>
      </c>
      <c r="M826" s="16">
        <v>20.78</v>
      </c>
    </row>
    <row r="827" spans="1:13" outlineLevel="2" x14ac:dyDescent="0.2"/>
    <row r="828" spans="1:13" ht="33.75" outlineLevel="3" x14ac:dyDescent="0.2">
      <c r="B828" s="4" t="str">
        <f>"0011000090"</f>
        <v>0011000090</v>
      </c>
      <c r="C828" s="5" t="str">
        <f>"034921"</f>
        <v>034921</v>
      </c>
      <c r="D828" s="12" t="s">
        <v>1005</v>
      </c>
      <c r="E828" s="14" t="s">
        <v>1091</v>
      </c>
      <c r="F828" s="12" t="s">
        <v>3</v>
      </c>
      <c r="G828" s="15">
        <v>90</v>
      </c>
      <c r="H828" s="12" t="s">
        <v>1004</v>
      </c>
      <c r="I828" s="12" t="s">
        <v>177</v>
      </c>
      <c r="K828" s="16">
        <v>33.590000000000003</v>
      </c>
      <c r="L828" s="16">
        <v>50.9</v>
      </c>
      <c r="M828" s="16">
        <v>52.9</v>
      </c>
    </row>
    <row r="829" spans="1:13" ht="22.5" outlineLevel="3" x14ac:dyDescent="0.2">
      <c r="B829" s="4" t="str">
        <f>"0011000090"</f>
        <v>0011000090</v>
      </c>
      <c r="C829" s="5" t="str">
        <f>"393619"</f>
        <v>393619</v>
      </c>
      <c r="D829" s="12" t="s">
        <v>1002</v>
      </c>
      <c r="E829" s="14" t="s">
        <v>1092</v>
      </c>
      <c r="F829" s="12" t="s">
        <v>73</v>
      </c>
      <c r="G829" s="15">
        <v>90</v>
      </c>
      <c r="H829" s="12" t="s">
        <v>1004</v>
      </c>
      <c r="I829" s="12" t="s">
        <v>30</v>
      </c>
      <c r="K829" s="16">
        <v>33.590000000000003</v>
      </c>
      <c r="L829" s="16">
        <v>50.9</v>
      </c>
      <c r="M829" s="16">
        <v>52.9</v>
      </c>
    </row>
    <row r="830" spans="1:13" outlineLevel="1" x14ac:dyDescent="0.2">
      <c r="A830" s="3"/>
    </row>
    <row r="831" spans="1:13" outlineLevel="2" x14ac:dyDescent="0.2">
      <c r="A831" s="3" t="s">
        <v>1447</v>
      </c>
    </row>
    <row r="832" spans="1:13" ht="33.75" outlineLevel="3" x14ac:dyDescent="0.2">
      <c r="B832" s="4" t="str">
        <f>"0014480030"</f>
        <v>0014480030</v>
      </c>
      <c r="C832" s="5" t="str">
        <f>"112338"</f>
        <v>112338</v>
      </c>
      <c r="D832" s="12" t="s">
        <v>1315</v>
      </c>
      <c r="E832" s="14" t="s">
        <v>1316</v>
      </c>
      <c r="F832" s="12" t="s">
        <v>3</v>
      </c>
      <c r="G832" s="15">
        <v>28</v>
      </c>
      <c r="H832" s="12" t="s">
        <v>1317</v>
      </c>
      <c r="I832" s="12" t="s">
        <v>30</v>
      </c>
      <c r="K832" s="16">
        <v>5.71</v>
      </c>
      <c r="L832" s="16">
        <v>9.11</v>
      </c>
      <c r="M832" s="16">
        <v>10.61</v>
      </c>
    </row>
    <row r="833" spans="1:13" outlineLevel="2" x14ac:dyDescent="0.2"/>
    <row r="834" spans="1:13" ht="33.75" outlineLevel="3" x14ac:dyDescent="0.2">
      <c r="B834" s="4" t="str">
        <f>"0014480100"</f>
        <v>0014480100</v>
      </c>
      <c r="C834" s="5" t="str">
        <f>"061828"</f>
        <v>061828</v>
      </c>
      <c r="D834" s="12" t="s">
        <v>1315</v>
      </c>
      <c r="E834" s="14" t="s">
        <v>1316</v>
      </c>
      <c r="F834" s="12" t="s">
        <v>3</v>
      </c>
      <c r="G834" s="15">
        <v>98</v>
      </c>
      <c r="H834" s="12" t="s">
        <v>1317</v>
      </c>
      <c r="I834" s="12" t="s">
        <v>30</v>
      </c>
      <c r="K834" s="16">
        <v>14.71</v>
      </c>
      <c r="L834" s="16">
        <v>22.86</v>
      </c>
      <c r="M834" s="16">
        <v>24.36</v>
      </c>
    </row>
    <row r="835" spans="1:13" outlineLevel="2" x14ac:dyDescent="0.2"/>
    <row r="836" spans="1:13" ht="33.75" outlineLevel="3" x14ac:dyDescent="0.2">
      <c r="B836" s="4" t="str">
        <f>"0014490030"</f>
        <v>0014490030</v>
      </c>
      <c r="C836" s="5" t="str">
        <f>"190469"</f>
        <v>190469</v>
      </c>
      <c r="D836" s="12" t="s">
        <v>1315</v>
      </c>
      <c r="E836" s="14" t="s">
        <v>1318</v>
      </c>
      <c r="F836" s="12" t="s">
        <v>3</v>
      </c>
      <c r="G836" s="15">
        <v>28</v>
      </c>
      <c r="H836" s="12" t="s">
        <v>1317</v>
      </c>
      <c r="I836" s="12" t="s">
        <v>30</v>
      </c>
      <c r="K836" s="16">
        <v>6.02</v>
      </c>
      <c r="L836" s="16">
        <v>9.6</v>
      </c>
      <c r="M836" s="16">
        <v>11.1</v>
      </c>
    </row>
    <row r="837" spans="1:13" outlineLevel="2" x14ac:dyDescent="0.2"/>
    <row r="838" spans="1:13" ht="33.75" outlineLevel="3" x14ac:dyDescent="0.2">
      <c r="B838" s="4" t="str">
        <f>"0014490100"</f>
        <v>0014490100</v>
      </c>
      <c r="C838" s="5" t="str">
        <f>"459325"</f>
        <v>459325</v>
      </c>
      <c r="D838" s="12" t="s">
        <v>1315</v>
      </c>
      <c r="E838" s="14" t="s">
        <v>1318</v>
      </c>
      <c r="F838" s="12" t="s">
        <v>3</v>
      </c>
      <c r="G838" s="15">
        <v>98</v>
      </c>
      <c r="H838" s="12" t="s">
        <v>1317</v>
      </c>
      <c r="I838" s="12" t="s">
        <v>30</v>
      </c>
      <c r="K838" s="16">
        <v>17.260000000000002</v>
      </c>
      <c r="L838" s="16">
        <v>26.64</v>
      </c>
      <c r="M838" s="16">
        <v>28.14</v>
      </c>
    </row>
    <row r="839" spans="1:13" outlineLevel="1" x14ac:dyDescent="0.2">
      <c r="A839" s="3"/>
    </row>
    <row r="840" spans="1:13" outlineLevel="2" x14ac:dyDescent="0.2">
      <c r="A840" s="3" t="s">
        <v>1448</v>
      </c>
    </row>
    <row r="841" spans="1:13" ht="33.75" outlineLevel="3" x14ac:dyDescent="0.2">
      <c r="B841" s="4" t="str">
        <f>"0006710030"</f>
        <v>0006710030</v>
      </c>
      <c r="C841" s="5" t="str">
        <f>"006914"</f>
        <v>006914</v>
      </c>
      <c r="D841" s="12" t="s">
        <v>766</v>
      </c>
      <c r="E841" s="14" t="s">
        <v>118</v>
      </c>
      <c r="F841" s="12" t="s">
        <v>3</v>
      </c>
      <c r="G841" s="15">
        <v>28</v>
      </c>
      <c r="H841" s="12" t="s">
        <v>767</v>
      </c>
      <c r="I841" s="12" t="s">
        <v>170</v>
      </c>
      <c r="K841" s="16">
        <v>17.29</v>
      </c>
      <c r="L841" s="16">
        <v>26.69</v>
      </c>
      <c r="M841" s="16">
        <v>26.2</v>
      </c>
    </row>
    <row r="842" spans="1:13" ht="33.75" outlineLevel="3" x14ac:dyDescent="0.2">
      <c r="B842" s="4" t="str">
        <f>"0006710030"</f>
        <v>0006710030</v>
      </c>
      <c r="C842" s="5" t="str">
        <f>"047567"</f>
        <v>047567</v>
      </c>
      <c r="D842" s="12" t="s">
        <v>768</v>
      </c>
      <c r="E842" s="14" t="s">
        <v>118</v>
      </c>
      <c r="F842" s="12" t="s">
        <v>3</v>
      </c>
      <c r="G842" s="15">
        <v>28</v>
      </c>
      <c r="H842" s="12" t="s">
        <v>767</v>
      </c>
      <c r="I842" s="12" t="s">
        <v>104</v>
      </c>
      <c r="K842" s="16">
        <v>16.96</v>
      </c>
      <c r="L842" s="16">
        <v>26.2</v>
      </c>
      <c r="M842" s="16">
        <v>26.2</v>
      </c>
    </row>
    <row r="843" spans="1:13" ht="33.75" outlineLevel="3" x14ac:dyDescent="0.2">
      <c r="B843" s="4" t="str">
        <f>"0006710030"</f>
        <v>0006710030</v>
      </c>
      <c r="C843" s="5" t="str">
        <f>"168568"</f>
        <v>168568</v>
      </c>
      <c r="D843" s="12" t="s">
        <v>770</v>
      </c>
      <c r="E843" s="14" t="s">
        <v>118</v>
      </c>
      <c r="F843" s="12" t="s">
        <v>3</v>
      </c>
      <c r="G843" s="15">
        <v>30</v>
      </c>
      <c r="H843" s="12" t="s">
        <v>767</v>
      </c>
      <c r="I843" s="12" t="s">
        <v>5</v>
      </c>
      <c r="K843" s="16">
        <v>16.96</v>
      </c>
      <c r="L843" s="16">
        <v>26.2</v>
      </c>
      <c r="M843" s="16">
        <v>26.2</v>
      </c>
    </row>
    <row r="844" spans="1:13" ht="33.75" outlineLevel="3" x14ac:dyDescent="0.2">
      <c r="B844" s="4" t="str">
        <f>"0006710030"</f>
        <v>0006710030</v>
      </c>
      <c r="C844" s="5" t="str">
        <f>"093996"</f>
        <v>093996</v>
      </c>
      <c r="D844" s="12" t="s">
        <v>769</v>
      </c>
      <c r="E844" s="14" t="s">
        <v>118</v>
      </c>
      <c r="F844" s="12" t="s">
        <v>3</v>
      </c>
      <c r="G844" s="15">
        <v>28</v>
      </c>
      <c r="H844" s="12" t="s">
        <v>767</v>
      </c>
      <c r="I844" s="12" t="s">
        <v>30</v>
      </c>
      <c r="K844" s="16">
        <v>15.95</v>
      </c>
      <c r="L844" s="16">
        <v>24.7</v>
      </c>
      <c r="M844" s="16">
        <v>26.2</v>
      </c>
    </row>
    <row r="845" spans="1:13" outlineLevel="2" x14ac:dyDescent="0.2"/>
    <row r="846" spans="1:13" ht="33.75" outlineLevel="3" x14ac:dyDescent="0.2">
      <c r="B846" s="4" t="str">
        <f>"0006710100"</f>
        <v>0006710100</v>
      </c>
      <c r="C846" s="5" t="str">
        <f>"006928"</f>
        <v>006928</v>
      </c>
      <c r="D846" s="12" t="s">
        <v>766</v>
      </c>
      <c r="E846" s="14" t="s">
        <v>118</v>
      </c>
      <c r="F846" s="12" t="s">
        <v>3</v>
      </c>
      <c r="G846" s="15">
        <v>98</v>
      </c>
      <c r="H846" s="12" t="s">
        <v>767</v>
      </c>
      <c r="I846" s="12" t="s">
        <v>170</v>
      </c>
      <c r="K846" s="16">
        <v>63.5</v>
      </c>
      <c r="L846" s="16">
        <v>93.41</v>
      </c>
      <c r="M846" s="16">
        <v>23.3</v>
      </c>
    </row>
    <row r="847" spans="1:13" ht="33.75" outlineLevel="3" x14ac:dyDescent="0.2">
      <c r="B847" s="4" t="str">
        <f>"0006710100"</f>
        <v>0006710100</v>
      </c>
      <c r="C847" s="5" t="str">
        <f>"026943"</f>
        <v>026943</v>
      </c>
      <c r="D847" s="12" t="s">
        <v>770</v>
      </c>
      <c r="E847" s="14" t="s">
        <v>118</v>
      </c>
      <c r="F847" s="12" t="s">
        <v>3</v>
      </c>
      <c r="G847" s="15">
        <v>100</v>
      </c>
      <c r="H847" s="12" t="s">
        <v>767</v>
      </c>
      <c r="I847" s="12" t="s">
        <v>5</v>
      </c>
      <c r="K847" s="16">
        <v>15.12</v>
      </c>
      <c r="L847" s="16">
        <v>23.46</v>
      </c>
      <c r="M847" s="16">
        <v>23.3</v>
      </c>
    </row>
    <row r="848" spans="1:13" ht="33.75" outlineLevel="3" x14ac:dyDescent="0.2">
      <c r="B848" s="4" t="str">
        <f>"0006710100"</f>
        <v>0006710100</v>
      </c>
      <c r="C848" s="5" t="str">
        <f>"047579"</f>
        <v>047579</v>
      </c>
      <c r="D848" s="12" t="s">
        <v>768</v>
      </c>
      <c r="E848" s="14" t="s">
        <v>118</v>
      </c>
      <c r="F848" s="12" t="s">
        <v>3</v>
      </c>
      <c r="G848" s="15">
        <v>98</v>
      </c>
      <c r="H848" s="12" t="s">
        <v>767</v>
      </c>
      <c r="I848" s="12" t="s">
        <v>104</v>
      </c>
      <c r="K848" s="16">
        <v>15.12</v>
      </c>
      <c r="L848" s="16">
        <v>23.46</v>
      </c>
      <c r="M848" s="16">
        <v>23.3</v>
      </c>
    </row>
    <row r="849" spans="2:13" ht="33.75" outlineLevel="3" x14ac:dyDescent="0.2">
      <c r="B849" s="4" t="str">
        <f>"0006710100"</f>
        <v>0006710100</v>
      </c>
      <c r="C849" s="5" t="str">
        <f>"094023"</f>
        <v>094023</v>
      </c>
      <c r="D849" s="12" t="s">
        <v>769</v>
      </c>
      <c r="E849" s="14" t="s">
        <v>118</v>
      </c>
      <c r="F849" s="12" t="s">
        <v>3</v>
      </c>
      <c r="G849" s="15">
        <v>98</v>
      </c>
      <c r="H849" s="12" t="s">
        <v>767</v>
      </c>
      <c r="I849" s="12" t="s">
        <v>30</v>
      </c>
      <c r="K849" s="16">
        <v>15.12</v>
      </c>
      <c r="L849" s="16">
        <v>23.46</v>
      </c>
      <c r="M849" s="16">
        <v>23.3</v>
      </c>
    </row>
    <row r="850" spans="2:13" ht="33.75" outlineLevel="3" x14ac:dyDescent="0.2">
      <c r="B850" s="4" t="str">
        <f>"0006710100"</f>
        <v>0006710100</v>
      </c>
      <c r="C850" s="5" t="str">
        <f>"030491"</f>
        <v>030491</v>
      </c>
      <c r="D850" s="12" t="s">
        <v>771</v>
      </c>
      <c r="E850" s="14" t="s">
        <v>118</v>
      </c>
      <c r="F850" s="12" t="s">
        <v>3</v>
      </c>
      <c r="G850" s="15">
        <v>98</v>
      </c>
      <c r="H850" s="12" t="s">
        <v>767</v>
      </c>
      <c r="I850" s="12" t="s">
        <v>60</v>
      </c>
      <c r="K850" s="16">
        <v>14</v>
      </c>
      <c r="L850" s="16">
        <v>21.8</v>
      </c>
      <c r="M850" s="16">
        <v>23.3</v>
      </c>
    </row>
    <row r="851" spans="2:13" outlineLevel="2" x14ac:dyDescent="0.2"/>
    <row r="852" spans="2:13" ht="33.75" outlineLevel="3" x14ac:dyDescent="0.2">
      <c r="B852" s="4" t="str">
        <f>"0006710250"</f>
        <v>0006710250</v>
      </c>
      <c r="C852" s="5" t="str">
        <f>"599346"</f>
        <v>599346</v>
      </c>
      <c r="D852" s="12" t="s">
        <v>770</v>
      </c>
      <c r="E852" s="14" t="s">
        <v>118</v>
      </c>
      <c r="F852" s="12" t="s">
        <v>3</v>
      </c>
      <c r="G852" s="15">
        <v>250</v>
      </c>
      <c r="H852" s="12" t="s">
        <v>767</v>
      </c>
      <c r="I852" s="12" t="s">
        <v>5</v>
      </c>
      <c r="K852" s="16">
        <v>37.799999999999997</v>
      </c>
      <c r="L852" s="16">
        <v>57.15</v>
      </c>
      <c r="M852" s="16">
        <v>59.15</v>
      </c>
    </row>
    <row r="853" spans="2:13" outlineLevel="2" x14ac:dyDescent="0.2"/>
    <row r="854" spans="2:13" ht="33.75" outlineLevel="3" x14ac:dyDescent="0.2">
      <c r="B854" s="4" t="str">
        <f>"0010430030"</f>
        <v>0010430030</v>
      </c>
      <c r="C854" s="5" t="str">
        <f>"065979"</f>
        <v>065979</v>
      </c>
      <c r="D854" s="12" t="s">
        <v>766</v>
      </c>
      <c r="E854" s="14" t="s">
        <v>146</v>
      </c>
      <c r="F854" s="12" t="s">
        <v>3</v>
      </c>
      <c r="G854" s="15">
        <v>28</v>
      </c>
      <c r="H854" s="12" t="s">
        <v>767</v>
      </c>
      <c r="I854" s="12" t="s">
        <v>170</v>
      </c>
      <c r="K854" s="16">
        <v>6.01</v>
      </c>
      <c r="L854" s="16">
        <v>9.58</v>
      </c>
      <c r="M854" s="16">
        <v>8.84</v>
      </c>
    </row>
    <row r="855" spans="2:13" ht="33.75" outlineLevel="3" x14ac:dyDescent="0.2">
      <c r="B855" s="4" t="str">
        <f>"0010430030"</f>
        <v>0010430030</v>
      </c>
      <c r="C855" s="5" t="str">
        <f>"047556"</f>
        <v>047556</v>
      </c>
      <c r="D855" s="12" t="s">
        <v>768</v>
      </c>
      <c r="E855" s="14" t="s">
        <v>146</v>
      </c>
      <c r="F855" s="12" t="s">
        <v>3</v>
      </c>
      <c r="G855" s="15">
        <v>28</v>
      </c>
      <c r="H855" s="12" t="s">
        <v>767</v>
      </c>
      <c r="I855" s="12" t="s">
        <v>104</v>
      </c>
      <c r="K855" s="16">
        <v>5.78</v>
      </c>
      <c r="L855" s="16">
        <v>9.2200000000000006</v>
      </c>
      <c r="M855" s="16">
        <v>8.84</v>
      </c>
    </row>
    <row r="856" spans="2:13" ht="33.75" outlineLevel="3" x14ac:dyDescent="0.2">
      <c r="B856" s="4" t="str">
        <f>"0010430030"</f>
        <v>0010430030</v>
      </c>
      <c r="C856" s="5" t="str">
        <f>"093987"</f>
        <v>093987</v>
      </c>
      <c r="D856" s="12" t="s">
        <v>769</v>
      </c>
      <c r="E856" s="14" t="s">
        <v>146</v>
      </c>
      <c r="F856" s="12" t="s">
        <v>3</v>
      </c>
      <c r="G856" s="15">
        <v>28</v>
      </c>
      <c r="H856" s="12" t="s">
        <v>767</v>
      </c>
      <c r="I856" s="12" t="s">
        <v>30</v>
      </c>
      <c r="K856" s="16">
        <v>5.78</v>
      </c>
      <c r="L856" s="16">
        <v>9.2200000000000006</v>
      </c>
      <c r="M856" s="16">
        <v>8.84</v>
      </c>
    </row>
    <row r="857" spans="2:13" ht="33.75" outlineLevel="3" x14ac:dyDescent="0.2">
      <c r="B857" s="4" t="str">
        <f>"0010430030"</f>
        <v>0010430030</v>
      </c>
      <c r="C857" s="5" t="str">
        <f>"375897"</f>
        <v>375897</v>
      </c>
      <c r="D857" s="12" t="s">
        <v>770</v>
      </c>
      <c r="E857" s="14" t="s">
        <v>146</v>
      </c>
      <c r="F857" s="12" t="s">
        <v>3</v>
      </c>
      <c r="G857" s="15">
        <v>30</v>
      </c>
      <c r="H857" s="12" t="s">
        <v>767</v>
      </c>
      <c r="I857" s="12" t="s">
        <v>5</v>
      </c>
      <c r="K857" s="16">
        <v>5.78</v>
      </c>
      <c r="L857" s="16">
        <v>9.2200000000000006</v>
      </c>
      <c r="M857" s="16">
        <v>8.84</v>
      </c>
    </row>
    <row r="858" spans="2:13" ht="33.75" outlineLevel="3" x14ac:dyDescent="0.2">
      <c r="B858" s="4" t="str">
        <f>"0010430030"</f>
        <v>0010430030</v>
      </c>
      <c r="C858" s="5" t="str">
        <f>"030503"</f>
        <v>030503</v>
      </c>
      <c r="D858" s="12" t="s">
        <v>771</v>
      </c>
      <c r="E858" s="14" t="s">
        <v>146</v>
      </c>
      <c r="F858" s="12" t="s">
        <v>3</v>
      </c>
      <c r="G858" s="15">
        <v>28</v>
      </c>
      <c r="H858" s="12" t="s">
        <v>767</v>
      </c>
      <c r="I858" s="12" t="s">
        <v>60</v>
      </c>
      <c r="K858" s="16">
        <v>4.5999999999999996</v>
      </c>
      <c r="L858" s="16">
        <v>7.34</v>
      </c>
      <c r="M858" s="16">
        <v>8.84</v>
      </c>
    </row>
    <row r="859" spans="2:13" outlineLevel="2" x14ac:dyDescent="0.2"/>
    <row r="860" spans="2:13" ht="33.75" outlineLevel="3" x14ac:dyDescent="0.2">
      <c r="B860" s="4" t="str">
        <f>"0010430100"</f>
        <v>0010430100</v>
      </c>
      <c r="C860" s="5" t="str">
        <f>"128139"</f>
        <v>128139</v>
      </c>
      <c r="D860" s="12" t="s">
        <v>770</v>
      </c>
      <c r="E860" s="14" t="s">
        <v>146</v>
      </c>
      <c r="F860" s="12" t="s">
        <v>3</v>
      </c>
      <c r="G860" s="15">
        <v>100</v>
      </c>
      <c r="H860" s="12" t="s">
        <v>767</v>
      </c>
      <c r="I860" s="12" t="s">
        <v>5</v>
      </c>
      <c r="K860" s="16">
        <v>16.670000000000002</v>
      </c>
      <c r="L860" s="16">
        <v>25.76</v>
      </c>
      <c r="M860" s="16">
        <v>25.54</v>
      </c>
    </row>
    <row r="861" spans="2:13" ht="33.75" outlineLevel="3" x14ac:dyDescent="0.2">
      <c r="B861" s="4" t="str">
        <f>"0010430100"</f>
        <v>0010430100</v>
      </c>
      <c r="C861" s="5" t="str">
        <f>"030514"</f>
        <v>030514</v>
      </c>
      <c r="D861" s="12" t="s">
        <v>771</v>
      </c>
      <c r="E861" s="14" t="s">
        <v>146</v>
      </c>
      <c r="F861" s="12" t="s">
        <v>3</v>
      </c>
      <c r="G861" s="15">
        <v>98</v>
      </c>
      <c r="H861" s="12" t="s">
        <v>767</v>
      </c>
      <c r="I861" s="12" t="s">
        <v>60</v>
      </c>
      <c r="K861" s="16">
        <v>15.5</v>
      </c>
      <c r="L861" s="16">
        <v>24.04</v>
      </c>
      <c r="M861" s="16">
        <v>25.54</v>
      </c>
    </row>
    <row r="862" spans="2:13" outlineLevel="2" x14ac:dyDescent="0.2"/>
    <row r="863" spans="2:13" ht="33.75" outlineLevel="3" x14ac:dyDescent="0.2">
      <c r="B863" s="4" t="str">
        <f>"0010430250"</f>
        <v>0010430250</v>
      </c>
      <c r="C863" s="5" t="str">
        <f>"526703"</f>
        <v>526703</v>
      </c>
      <c r="D863" s="12" t="s">
        <v>770</v>
      </c>
      <c r="E863" s="14" t="s">
        <v>146</v>
      </c>
      <c r="F863" s="12" t="s">
        <v>3</v>
      </c>
      <c r="G863" s="15">
        <v>250</v>
      </c>
      <c r="H863" s="12" t="s">
        <v>767</v>
      </c>
      <c r="I863" s="12" t="s">
        <v>5</v>
      </c>
      <c r="K863" s="16">
        <v>41.68</v>
      </c>
      <c r="L863" s="16">
        <v>62.91</v>
      </c>
      <c r="M863" s="16">
        <v>64.91</v>
      </c>
    </row>
    <row r="864" spans="2:13" outlineLevel="2" x14ac:dyDescent="0.2"/>
    <row r="865" spans="2:13" ht="33.75" outlineLevel="3" x14ac:dyDescent="0.2">
      <c r="B865" s="4" t="str">
        <f>"0010440030"</f>
        <v>0010440030</v>
      </c>
      <c r="C865" s="5" t="str">
        <f>"409889"</f>
        <v>409889</v>
      </c>
      <c r="D865" s="12" t="s">
        <v>770</v>
      </c>
      <c r="E865" s="14" t="s">
        <v>102</v>
      </c>
      <c r="F865" s="12" t="s">
        <v>3</v>
      </c>
      <c r="G865" s="15">
        <v>30</v>
      </c>
      <c r="H865" s="12" t="s">
        <v>767</v>
      </c>
      <c r="I865" s="12" t="s">
        <v>5</v>
      </c>
      <c r="K865" s="16">
        <v>5.79</v>
      </c>
      <c r="L865" s="16">
        <v>9.24</v>
      </c>
      <c r="M865" s="16">
        <v>10.74</v>
      </c>
    </row>
    <row r="866" spans="2:13" outlineLevel="2" x14ac:dyDescent="0.2"/>
    <row r="867" spans="2:13" ht="33.75" outlineLevel="3" x14ac:dyDescent="0.2">
      <c r="B867" s="4" t="str">
        <f>"0010440100"</f>
        <v>0010440100</v>
      </c>
      <c r="C867" s="5" t="str">
        <f>"176835"</f>
        <v>176835</v>
      </c>
      <c r="D867" s="12" t="s">
        <v>770</v>
      </c>
      <c r="E867" s="14" t="s">
        <v>102</v>
      </c>
      <c r="F867" s="12" t="s">
        <v>3</v>
      </c>
      <c r="G867" s="15">
        <v>100</v>
      </c>
      <c r="H867" s="12" t="s">
        <v>767</v>
      </c>
      <c r="I867" s="12" t="s">
        <v>5</v>
      </c>
      <c r="K867" s="16">
        <v>19.87</v>
      </c>
      <c r="L867" s="16">
        <v>30.51</v>
      </c>
      <c r="M867" s="16">
        <v>32.01</v>
      </c>
    </row>
    <row r="868" spans="2:13" ht="33.75" outlineLevel="3" x14ac:dyDescent="0.2">
      <c r="B868" s="4" t="str">
        <f>"0010440100"</f>
        <v>0010440100</v>
      </c>
      <c r="C868" s="5" t="str">
        <f>"032399"</f>
        <v>032399</v>
      </c>
      <c r="D868" s="12" t="s">
        <v>770</v>
      </c>
      <c r="E868" s="14" t="s">
        <v>102</v>
      </c>
      <c r="F868" s="12" t="s">
        <v>3</v>
      </c>
      <c r="G868" s="15">
        <v>98</v>
      </c>
      <c r="H868" s="12" t="s">
        <v>767</v>
      </c>
      <c r="I868" s="12" t="s">
        <v>5</v>
      </c>
      <c r="J868" s="2" t="s">
        <v>1400</v>
      </c>
      <c r="K868" s="16">
        <v>19.47</v>
      </c>
      <c r="L868" s="16">
        <v>29.92</v>
      </c>
      <c r="M868" s="16">
        <v>32.01</v>
      </c>
    </row>
    <row r="869" spans="2:13" outlineLevel="2" x14ac:dyDescent="0.2"/>
    <row r="870" spans="2:13" ht="33.75" outlineLevel="3" x14ac:dyDescent="0.2">
      <c r="B870" s="4" t="str">
        <f>"0010450030"</f>
        <v>0010450030</v>
      </c>
      <c r="C870" s="5" t="str">
        <f>"079053"</f>
        <v>079053</v>
      </c>
      <c r="D870" s="12" t="s">
        <v>766</v>
      </c>
      <c r="E870" s="14" t="s">
        <v>106</v>
      </c>
      <c r="F870" s="12" t="s">
        <v>3</v>
      </c>
      <c r="G870" s="15">
        <v>28</v>
      </c>
      <c r="H870" s="12" t="s">
        <v>767</v>
      </c>
      <c r="I870" s="12" t="s">
        <v>170</v>
      </c>
      <c r="K870" s="16">
        <v>9.83</v>
      </c>
      <c r="L870" s="16">
        <v>15.61</v>
      </c>
      <c r="M870" s="16">
        <v>16.77</v>
      </c>
    </row>
    <row r="871" spans="2:13" ht="33.75" outlineLevel="3" x14ac:dyDescent="0.2">
      <c r="B871" s="4" t="str">
        <f>"0010450030"</f>
        <v>0010450030</v>
      </c>
      <c r="C871" s="5" t="str">
        <f>"041211"</f>
        <v>041211</v>
      </c>
      <c r="D871" s="12" t="s">
        <v>770</v>
      </c>
      <c r="E871" s="14" t="s">
        <v>106</v>
      </c>
      <c r="F871" s="12" t="s">
        <v>3</v>
      </c>
      <c r="G871" s="15">
        <v>30</v>
      </c>
      <c r="H871" s="12" t="s">
        <v>767</v>
      </c>
      <c r="I871" s="12" t="s">
        <v>5</v>
      </c>
      <c r="K871" s="16">
        <v>9.67</v>
      </c>
      <c r="L871" s="16">
        <v>15.37</v>
      </c>
      <c r="M871" s="16">
        <v>16.77</v>
      </c>
    </row>
    <row r="872" spans="2:13" ht="33.75" outlineLevel="3" x14ac:dyDescent="0.2">
      <c r="B872" s="4" t="str">
        <f>"0010450030"</f>
        <v>0010450030</v>
      </c>
      <c r="C872" s="5" t="str">
        <f>"047523"</f>
        <v>047523</v>
      </c>
      <c r="D872" s="12" t="s">
        <v>768</v>
      </c>
      <c r="E872" s="14" t="s">
        <v>106</v>
      </c>
      <c r="F872" s="12" t="s">
        <v>3</v>
      </c>
      <c r="G872" s="15">
        <v>28</v>
      </c>
      <c r="H872" s="12" t="s">
        <v>767</v>
      </c>
      <c r="I872" s="12" t="s">
        <v>104</v>
      </c>
      <c r="K872" s="16">
        <v>9.67</v>
      </c>
      <c r="L872" s="16">
        <v>15.37</v>
      </c>
      <c r="M872" s="16">
        <v>16.77</v>
      </c>
    </row>
    <row r="873" spans="2:13" ht="33.75" outlineLevel="3" x14ac:dyDescent="0.2">
      <c r="B873" s="4" t="str">
        <f>"0010450030"</f>
        <v>0010450030</v>
      </c>
      <c r="C873" s="5" t="str">
        <f>"050015"</f>
        <v>050015</v>
      </c>
      <c r="D873" s="12" t="s">
        <v>769</v>
      </c>
      <c r="E873" s="14" t="s">
        <v>106</v>
      </c>
      <c r="F873" s="12" t="s">
        <v>3</v>
      </c>
      <c r="G873" s="15">
        <v>28</v>
      </c>
      <c r="H873" s="12" t="s">
        <v>767</v>
      </c>
      <c r="I873" s="12" t="s">
        <v>30</v>
      </c>
      <c r="K873" s="16">
        <v>9.67</v>
      </c>
      <c r="L873" s="16">
        <v>15.37</v>
      </c>
      <c r="M873" s="16">
        <v>16.77</v>
      </c>
    </row>
    <row r="874" spans="2:13" ht="33.75" outlineLevel="3" x14ac:dyDescent="0.2">
      <c r="B874" s="4" t="str">
        <f>"0010450030"</f>
        <v>0010450030</v>
      </c>
      <c r="C874" s="5" t="str">
        <f>"030525"</f>
        <v>030525</v>
      </c>
      <c r="D874" s="12" t="s">
        <v>771</v>
      </c>
      <c r="E874" s="14" t="s">
        <v>106</v>
      </c>
      <c r="F874" s="12" t="s">
        <v>3</v>
      </c>
      <c r="G874" s="15">
        <v>28</v>
      </c>
      <c r="H874" s="12" t="s">
        <v>767</v>
      </c>
      <c r="I874" s="12" t="s">
        <v>60</v>
      </c>
      <c r="K874" s="16">
        <v>9.6</v>
      </c>
      <c r="L874" s="16">
        <v>15.27</v>
      </c>
      <c r="M874" s="16">
        <v>16.77</v>
      </c>
    </row>
    <row r="875" spans="2:13" outlineLevel="2" x14ac:dyDescent="0.2"/>
    <row r="876" spans="2:13" ht="33.75" outlineLevel="3" x14ac:dyDescent="0.2">
      <c r="B876" s="4" t="str">
        <f>"0010450050"</f>
        <v>0010450050</v>
      </c>
      <c r="C876" s="5" t="str">
        <f>"050460"</f>
        <v>050460</v>
      </c>
      <c r="D876" s="12" t="s">
        <v>769</v>
      </c>
      <c r="E876" s="14" t="s">
        <v>106</v>
      </c>
      <c r="F876" s="12" t="s">
        <v>3</v>
      </c>
      <c r="G876" s="15">
        <v>50</v>
      </c>
      <c r="H876" s="12" t="s">
        <v>767</v>
      </c>
      <c r="I876" s="12" t="s">
        <v>30</v>
      </c>
      <c r="K876" s="16">
        <v>18.36</v>
      </c>
      <c r="L876" s="16">
        <v>28.28</v>
      </c>
      <c r="M876" s="16">
        <v>29.78</v>
      </c>
    </row>
    <row r="877" spans="2:13" outlineLevel="2" x14ac:dyDescent="0.2"/>
    <row r="878" spans="2:13" ht="33.75" outlineLevel="3" x14ac:dyDescent="0.2">
      <c r="B878" s="4" t="str">
        <f>"0010450100"</f>
        <v>0010450100</v>
      </c>
      <c r="C878" s="5" t="str">
        <f>"079061"</f>
        <v>079061</v>
      </c>
      <c r="D878" s="12" t="s">
        <v>766</v>
      </c>
      <c r="E878" s="14" t="s">
        <v>106</v>
      </c>
      <c r="F878" s="12" t="s">
        <v>3</v>
      </c>
      <c r="G878" s="15">
        <v>98</v>
      </c>
      <c r="H878" s="12" t="s">
        <v>767</v>
      </c>
      <c r="I878" s="12" t="s">
        <v>170</v>
      </c>
      <c r="K878" s="16">
        <v>35.4</v>
      </c>
      <c r="L878" s="16">
        <v>53.58</v>
      </c>
      <c r="M878" s="16">
        <v>24.79</v>
      </c>
    </row>
    <row r="879" spans="2:13" ht="33.75" outlineLevel="3" x14ac:dyDescent="0.2">
      <c r="B879" s="4" t="str">
        <f>"0010450100"</f>
        <v>0010450100</v>
      </c>
      <c r="C879" s="5" t="str">
        <f>"047534"</f>
        <v>047534</v>
      </c>
      <c r="D879" s="12" t="s">
        <v>768</v>
      </c>
      <c r="E879" s="14" t="s">
        <v>106</v>
      </c>
      <c r="F879" s="12" t="s">
        <v>3</v>
      </c>
      <c r="G879" s="15">
        <v>98</v>
      </c>
      <c r="H879" s="12" t="s">
        <v>767</v>
      </c>
      <c r="I879" s="12" t="s">
        <v>104</v>
      </c>
      <c r="K879" s="16">
        <v>16.11</v>
      </c>
      <c r="L879" s="16">
        <v>24.94</v>
      </c>
      <c r="M879" s="16">
        <v>24.79</v>
      </c>
    </row>
    <row r="880" spans="2:13" ht="33.75" outlineLevel="3" x14ac:dyDescent="0.2">
      <c r="B880" s="4" t="str">
        <f>"0010450100"</f>
        <v>0010450100</v>
      </c>
      <c r="C880" s="5" t="str">
        <f>"050469"</f>
        <v>050469</v>
      </c>
      <c r="D880" s="12" t="s">
        <v>769</v>
      </c>
      <c r="E880" s="14" t="s">
        <v>106</v>
      </c>
      <c r="F880" s="12" t="s">
        <v>3</v>
      </c>
      <c r="G880" s="15">
        <v>98</v>
      </c>
      <c r="H880" s="12" t="s">
        <v>767</v>
      </c>
      <c r="I880" s="12" t="s">
        <v>30</v>
      </c>
      <c r="K880" s="16">
        <v>16.11</v>
      </c>
      <c r="L880" s="16">
        <v>24.94</v>
      </c>
      <c r="M880" s="16">
        <v>24.79</v>
      </c>
    </row>
    <row r="881" spans="1:13" ht="33.75" outlineLevel="3" x14ac:dyDescent="0.2">
      <c r="B881" s="4" t="str">
        <f>"0010450100"</f>
        <v>0010450100</v>
      </c>
      <c r="C881" s="5" t="str">
        <f>"198582"</f>
        <v>198582</v>
      </c>
      <c r="D881" s="12" t="s">
        <v>770</v>
      </c>
      <c r="E881" s="14" t="s">
        <v>106</v>
      </c>
      <c r="F881" s="12" t="s">
        <v>3</v>
      </c>
      <c r="G881" s="15">
        <v>100</v>
      </c>
      <c r="H881" s="12" t="s">
        <v>767</v>
      </c>
      <c r="I881" s="12" t="s">
        <v>5</v>
      </c>
      <c r="K881" s="16">
        <v>16.11</v>
      </c>
      <c r="L881" s="16">
        <v>24.94</v>
      </c>
      <c r="M881" s="16">
        <v>24.79</v>
      </c>
    </row>
    <row r="882" spans="1:13" ht="33.75" outlineLevel="3" x14ac:dyDescent="0.2">
      <c r="B882" s="4" t="str">
        <f>"0010450100"</f>
        <v>0010450100</v>
      </c>
      <c r="C882" s="5" t="str">
        <f>"030468"</f>
        <v>030468</v>
      </c>
      <c r="D882" s="12" t="s">
        <v>771</v>
      </c>
      <c r="E882" s="14" t="s">
        <v>106</v>
      </c>
      <c r="F882" s="12" t="s">
        <v>3</v>
      </c>
      <c r="G882" s="15">
        <v>98</v>
      </c>
      <c r="H882" s="12" t="s">
        <v>767</v>
      </c>
      <c r="I882" s="12" t="s">
        <v>60</v>
      </c>
      <c r="K882" s="16">
        <v>15</v>
      </c>
      <c r="L882" s="16">
        <v>23.29</v>
      </c>
      <c r="M882" s="16">
        <v>24.79</v>
      </c>
    </row>
    <row r="883" spans="1:13" ht="33.75" outlineLevel="3" x14ac:dyDescent="0.2">
      <c r="B883" s="4" t="str">
        <f>"0010450250"</f>
        <v>0010450250</v>
      </c>
      <c r="C883" s="5" t="str">
        <f>"047676"</f>
        <v>047676</v>
      </c>
      <c r="D883" s="12" t="s">
        <v>770</v>
      </c>
      <c r="E883" s="14" t="s">
        <v>106</v>
      </c>
      <c r="F883" s="12" t="s">
        <v>3</v>
      </c>
      <c r="G883" s="15">
        <v>250</v>
      </c>
      <c r="H883" s="12" t="s">
        <v>767</v>
      </c>
      <c r="I883" s="12" t="s">
        <v>5</v>
      </c>
      <c r="K883" s="16">
        <v>40.28</v>
      </c>
      <c r="L883" s="16">
        <v>60.83</v>
      </c>
      <c r="M883" s="16">
        <v>62.83</v>
      </c>
    </row>
    <row r="884" spans="1:13" outlineLevel="1" x14ac:dyDescent="0.2">
      <c r="A884" s="3"/>
    </row>
    <row r="885" spans="1:13" outlineLevel="2" x14ac:dyDescent="0.2">
      <c r="A885" s="3" t="s">
        <v>1449</v>
      </c>
    </row>
    <row r="886" spans="1:13" ht="33.75" outlineLevel="3" x14ac:dyDescent="0.2">
      <c r="B886" s="4" t="str">
        <f>"0010460014"</f>
        <v>0010460014</v>
      </c>
      <c r="C886" s="5" t="str">
        <f>"410649"</f>
        <v>410649</v>
      </c>
      <c r="D886" s="12" t="s">
        <v>1052</v>
      </c>
      <c r="E886" s="14" t="s">
        <v>98</v>
      </c>
      <c r="F886" s="12" t="s">
        <v>3</v>
      </c>
      <c r="G886" s="15">
        <v>14</v>
      </c>
      <c r="H886" s="12" t="s">
        <v>1053</v>
      </c>
      <c r="I886" s="12" t="s">
        <v>5</v>
      </c>
      <c r="K886" s="16">
        <v>2.9</v>
      </c>
      <c r="L886" s="16">
        <v>4.63</v>
      </c>
      <c r="M886" s="16">
        <v>6.13</v>
      </c>
    </row>
    <row r="887" spans="1:13" ht="33.75" outlineLevel="3" x14ac:dyDescent="0.2">
      <c r="B887" s="4" t="str">
        <f>"0010460014"</f>
        <v>0010460014</v>
      </c>
      <c r="C887" s="5" t="str">
        <f>"491848"</f>
        <v>491848</v>
      </c>
      <c r="D887" s="12" t="s">
        <v>1054</v>
      </c>
      <c r="E887" s="14" t="s">
        <v>98</v>
      </c>
      <c r="F887" s="12" t="s">
        <v>3</v>
      </c>
      <c r="G887" s="15">
        <v>14</v>
      </c>
      <c r="H887" s="12" t="s">
        <v>1053</v>
      </c>
      <c r="I887" s="12" t="s">
        <v>30</v>
      </c>
      <c r="K887" s="16">
        <v>2.9</v>
      </c>
      <c r="L887" s="16">
        <v>4.63</v>
      </c>
      <c r="M887" s="16">
        <v>6.13</v>
      </c>
    </row>
    <row r="888" spans="1:13" outlineLevel="2" x14ac:dyDescent="0.2"/>
    <row r="889" spans="1:13" ht="33.75" outlineLevel="3" x14ac:dyDescent="0.2">
      <c r="B889" s="4" t="str">
        <f>"0010460030"</f>
        <v>0010460030</v>
      </c>
      <c r="C889" s="5" t="str">
        <f>"135039"</f>
        <v>135039</v>
      </c>
      <c r="D889" s="12" t="s">
        <v>1054</v>
      </c>
      <c r="E889" s="14" t="s">
        <v>98</v>
      </c>
      <c r="F889" s="12" t="s">
        <v>3</v>
      </c>
      <c r="G889" s="15">
        <v>28</v>
      </c>
      <c r="H889" s="12" t="s">
        <v>1053</v>
      </c>
      <c r="I889" s="12" t="s">
        <v>30</v>
      </c>
      <c r="K889" s="16">
        <v>5.8</v>
      </c>
      <c r="L889" s="16">
        <v>9.25</v>
      </c>
      <c r="M889" s="16">
        <v>10.75</v>
      </c>
    </row>
    <row r="890" spans="1:13" outlineLevel="2" x14ac:dyDescent="0.2"/>
    <row r="891" spans="1:13" ht="33.75" outlineLevel="3" x14ac:dyDescent="0.2">
      <c r="B891" s="4" t="str">
        <f t="shared" ref="B891:B897" si="23">"0010470030"</f>
        <v>0010470030</v>
      </c>
      <c r="C891" s="5" t="str">
        <f>"128060"</f>
        <v>128060</v>
      </c>
      <c r="D891" s="12" t="s">
        <v>1055</v>
      </c>
      <c r="E891" s="14" t="s">
        <v>116</v>
      </c>
      <c r="F891" s="12" t="s">
        <v>3</v>
      </c>
      <c r="G891" s="15">
        <v>28</v>
      </c>
      <c r="H891" s="12" t="s">
        <v>1053</v>
      </c>
      <c r="I891" s="12" t="s">
        <v>28</v>
      </c>
      <c r="J891" s="2" t="s">
        <v>1400</v>
      </c>
      <c r="K891" s="16" t="s">
        <v>1401</v>
      </c>
      <c r="L891" s="16" t="s">
        <v>1401</v>
      </c>
      <c r="M891" s="16">
        <v>17.22</v>
      </c>
    </row>
    <row r="892" spans="1:13" ht="33.75" outlineLevel="3" x14ac:dyDescent="0.2">
      <c r="B892" s="4" t="str">
        <f t="shared" si="23"/>
        <v>0010470030</v>
      </c>
      <c r="C892" s="5" t="str">
        <f>"445415"</f>
        <v>445415</v>
      </c>
      <c r="D892" s="12" t="s">
        <v>1052</v>
      </c>
      <c r="E892" s="14" t="s">
        <v>116</v>
      </c>
      <c r="F892" s="12" t="s">
        <v>3</v>
      </c>
      <c r="G892" s="15">
        <v>28</v>
      </c>
      <c r="H892" s="12" t="s">
        <v>1053</v>
      </c>
      <c r="I892" s="12" t="s">
        <v>5</v>
      </c>
      <c r="K892" s="16">
        <v>10</v>
      </c>
      <c r="L892" s="16">
        <v>15.86</v>
      </c>
      <c r="M892" s="16">
        <v>17.22</v>
      </c>
    </row>
    <row r="893" spans="1:13" ht="33.75" outlineLevel="3" x14ac:dyDescent="0.2">
      <c r="B893" s="4" t="str">
        <f t="shared" si="23"/>
        <v>0010470030</v>
      </c>
      <c r="C893" s="5" t="str">
        <f>"005910"</f>
        <v>005910</v>
      </c>
      <c r="D893" s="12" t="s">
        <v>1058</v>
      </c>
      <c r="E893" s="14" t="s">
        <v>116</v>
      </c>
      <c r="F893" s="12" t="s">
        <v>3</v>
      </c>
      <c r="G893" s="15">
        <v>28</v>
      </c>
      <c r="H893" s="12" t="s">
        <v>1053</v>
      </c>
      <c r="I893" s="12" t="s">
        <v>109</v>
      </c>
      <c r="K893" s="16">
        <v>10</v>
      </c>
      <c r="L893" s="16">
        <v>15.86</v>
      </c>
      <c r="M893" s="16">
        <v>17.22</v>
      </c>
    </row>
    <row r="894" spans="1:13" ht="33.75" outlineLevel="3" x14ac:dyDescent="0.2">
      <c r="B894" s="4" t="str">
        <f t="shared" si="23"/>
        <v>0010470030</v>
      </c>
      <c r="C894" s="5" t="str">
        <f>"135050"</f>
        <v>135050</v>
      </c>
      <c r="D894" s="12" t="s">
        <v>1054</v>
      </c>
      <c r="E894" s="14" t="s">
        <v>116</v>
      </c>
      <c r="F894" s="12" t="s">
        <v>3</v>
      </c>
      <c r="G894" s="15">
        <v>28</v>
      </c>
      <c r="H894" s="12" t="s">
        <v>1053</v>
      </c>
      <c r="I894" s="12" t="s">
        <v>30</v>
      </c>
      <c r="K894" s="16">
        <v>10</v>
      </c>
      <c r="L894" s="16">
        <v>15.86</v>
      </c>
      <c r="M894" s="16">
        <v>17.22</v>
      </c>
    </row>
    <row r="895" spans="1:13" ht="33.75" outlineLevel="3" x14ac:dyDescent="0.2">
      <c r="B895" s="4" t="str">
        <f t="shared" si="23"/>
        <v>0010470030</v>
      </c>
      <c r="C895" s="5" t="str">
        <f>"156429"</f>
        <v>156429</v>
      </c>
      <c r="D895" s="12" t="s">
        <v>1059</v>
      </c>
      <c r="E895" s="14" t="s">
        <v>116</v>
      </c>
      <c r="F895" s="12" t="s">
        <v>3</v>
      </c>
      <c r="G895" s="15">
        <v>28</v>
      </c>
      <c r="H895" s="12" t="s">
        <v>1053</v>
      </c>
      <c r="I895" s="12" t="s">
        <v>68</v>
      </c>
      <c r="K895" s="16">
        <v>10</v>
      </c>
      <c r="L895" s="16">
        <v>15.86</v>
      </c>
      <c r="M895" s="16">
        <v>17.22</v>
      </c>
    </row>
    <row r="896" spans="1:13" ht="33.75" outlineLevel="3" x14ac:dyDescent="0.2">
      <c r="B896" s="4" t="str">
        <f t="shared" si="23"/>
        <v>0010470030</v>
      </c>
      <c r="C896" s="5" t="str">
        <f>"388858"</f>
        <v>388858</v>
      </c>
      <c r="D896" s="12" t="s">
        <v>1056</v>
      </c>
      <c r="E896" s="14" t="s">
        <v>116</v>
      </c>
      <c r="F896" s="12" t="s">
        <v>3</v>
      </c>
      <c r="G896" s="15">
        <v>28</v>
      </c>
      <c r="H896" s="12" t="s">
        <v>1053</v>
      </c>
      <c r="I896" s="12" t="s">
        <v>70</v>
      </c>
      <c r="K896" s="16">
        <v>9.99</v>
      </c>
      <c r="L896" s="16">
        <v>15.85</v>
      </c>
      <c r="M896" s="16">
        <v>17.22</v>
      </c>
    </row>
    <row r="897" spans="2:13" ht="33.75" outlineLevel="3" x14ac:dyDescent="0.2">
      <c r="B897" s="4" t="str">
        <f t="shared" si="23"/>
        <v>0010470030</v>
      </c>
      <c r="C897" s="5" t="str">
        <f>"516990"</f>
        <v>516990</v>
      </c>
      <c r="D897" s="12" t="s">
        <v>1057</v>
      </c>
      <c r="E897" s="14" t="s">
        <v>116</v>
      </c>
      <c r="F897" s="12" t="s">
        <v>3</v>
      </c>
      <c r="G897" s="15">
        <v>28</v>
      </c>
      <c r="H897" s="12" t="s">
        <v>1053</v>
      </c>
      <c r="I897" s="12" t="s">
        <v>60</v>
      </c>
      <c r="K897" s="16">
        <v>9.9</v>
      </c>
      <c r="L897" s="16">
        <v>15.72</v>
      </c>
      <c r="M897" s="16">
        <v>17.22</v>
      </c>
    </row>
    <row r="898" spans="2:13" outlineLevel="2" x14ac:dyDescent="0.2"/>
    <row r="899" spans="2:13" ht="33.75" outlineLevel="3" x14ac:dyDescent="0.2">
      <c r="B899" s="4" t="str">
        <f t="shared" ref="B899:B905" si="24">"0010470100"</f>
        <v>0010470100</v>
      </c>
      <c r="C899" s="5" t="str">
        <f>"426748"</f>
        <v>426748</v>
      </c>
      <c r="D899" s="12" t="s">
        <v>1055</v>
      </c>
      <c r="E899" s="14" t="s">
        <v>116</v>
      </c>
      <c r="F899" s="12" t="s">
        <v>3</v>
      </c>
      <c r="G899" s="15">
        <v>98</v>
      </c>
      <c r="H899" s="12" t="s">
        <v>1053</v>
      </c>
      <c r="I899" s="12" t="s">
        <v>28</v>
      </c>
      <c r="J899" s="2" t="s">
        <v>1400</v>
      </c>
      <c r="K899" s="16" t="s">
        <v>1401</v>
      </c>
      <c r="L899" s="16" t="s">
        <v>1401</v>
      </c>
      <c r="M899" s="16">
        <v>21</v>
      </c>
    </row>
    <row r="900" spans="2:13" ht="33.75" outlineLevel="3" x14ac:dyDescent="0.2">
      <c r="B900" s="4" t="str">
        <f t="shared" si="24"/>
        <v>0010470100</v>
      </c>
      <c r="C900" s="5" t="str">
        <f>"135062"</f>
        <v>135062</v>
      </c>
      <c r="D900" s="12" t="s">
        <v>1054</v>
      </c>
      <c r="E900" s="14" t="s">
        <v>116</v>
      </c>
      <c r="F900" s="12" t="s">
        <v>3</v>
      </c>
      <c r="G900" s="15">
        <v>98</v>
      </c>
      <c r="H900" s="12" t="s">
        <v>1053</v>
      </c>
      <c r="I900" s="12" t="s">
        <v>30</v>
      </c>
      <c r="K900" s="16">
        <v>12.67</v>
      </c>
      <c r="L900" s="16">
        <v>19.82</v>
      </c>
      <c r="M900" s="16">
        <v>21</v>
      </c>
    </row>
    <row r="901" spans="2:13" ht="33.75" outlineLevel="3" x14ac:dyDescent="0.2">
      <c r="B901" s="4" t="str">
        <f t="shared" si="24"/>
        <v>0010470100</v>
      </c>
      <c r="C901" s="5" t="str">
        <f>"538696"</f>
        <v>538696</v>
      </c>
      <c r="D901" s="12" t="s">
        <v>1052</v>
      </c>
      <c r="E901" s="14" t="s">
        <v>116</v>
      </c>
      <c r="F901" s="12" t="s">
        <v>3</v>
      </c>
      <c r="G901" s="15">
        <v>98</v>
      </c>
      <c r="H901" s="12" t="s">
        <v>1053</v>
      </c>
      <c r="I901" s="12" t="s">
        <v>5</v>
      </c>
      <c r="K901" s="16">
        <v>12.52</v>
      </c>
      <c r="L901" s="16">
        <v>19.600000000000001</v>
      </c>
      <c r="M901" s="16">
        <v>21</v>
      </c>
    </row>
    <row r="902" spans="2:13" ht="33.75" outlineLevel="3" x14ac:dyDescent="0.2">
      <c r="B902" s="4" t="str">
        <f t="shared" si="24"/>
        <v>0010470100</v>
      </c>
      <c r="C902" s="5" t="str">
        <f>"005932"</f>
        <v>005932</v>
      </c>
      <c r="D902" s="12" t="s">
        <v>1058</v>
      </c>
      <c r="E902" s="14" t="s">
        <v>116</v>
      </c>
      <c r="F902" s="12" t="s">
        <v>3</v>
      </c>
      <c r="G902" s="15">
        <v>98</v>
      </c>
      <c r="H902" s="12" t="s">
        <v>1053</v>
      </c>
      <c r="I902" s="12" t="s">
        <v>109</v>
      </c>
      <c r="K902" s="16">
        <v>12.52</v>
      </c>
      <c r="L902" s="16">
        <v>19.600000000000001</v>
      </c>
      <c r="M902" s="16">
        <v>21</v>
      </c>
    </row>
    <row r="903" spans="2:13" ht="33.75" outlineLevel="3" x14ac:dyDescent="0.2">
      <c r="B903" s="4" t="str">
        <f t="shared" si="24"/>
        <v>0010470100</v>
      </c>
      <c r="C903" s="5" t="str">
        <f>"156440"</f>
        <v>156440</v>
      </c>
      <c r="D903" s="12" t="s">
        <v>1059</v>
      </c>
      <c r="E903" s="14" t="s">
        <v>116</v>
      </c>
      <c r="F903" s="12" t="s">
        <v>3</v>
      </c>
      <c r="G903" s="15">
        <v>98</v>
      </c>
      <c r="H903" s="12" t="s">
        <v>1053</v>
      </c>
      <c r="I903" s="12" t="s">
        <v>68</v>
      </c>
      <c r="K903" s="16">
        <v>12.52</v>
      </c>
      <c r="L903" s="16">
        <v>19.600000000000001</v>
      </c>
      <c r="M903" s="16">
        <v>21</v>
      </c>
    </row>
    <row r="904" spans="2:13" ht="33.75" outlineLevel="3" x14ac:dyDescent="0.2">
      <c r="B904" s="4" t="str">
        <f t="shared" si="24"/>
        <v>0010470100</v>
      </c>
      <c r="C904" s="5" t="str">
        <f>"158623"</f>
        <v>158623</v>
      </c>
      <c r="D904" s="12" t="s">
        <v>1056</v>
      </c>
      <c r="E904" s="14" t="s">
        <v>116</v>
      </c>
      <c r="F904" s="12" t="s">
        <v>3</v>
      </c>
      <c r="G904" s="15">
        <v>98</v>
      </c>
      <c r="H904" s="12" t="s">
        <v>1053</v>
      </c>
      <c r="I904" s="12" t="s">
        <v>70</v>
      </c>
      <c r="K904" s="16">
        <v>12.51</v>
      </c>
      <c r="L904" s="16">
        <v>19.59</v>
      </c>
      <c r="M904" s="16">
        <v>21</v>
      </c>
    </row>
    <row r="905" spans="2:13" ht="33.75" outlineLevel="3" x14ac:dyDescent="0.2">
      <c r="B905" s="4" t="str">
        <f t="shared" si="24"/>
        <v>0010470100</v>
      </c>
      <c r="C905" s="5" t="str">
        <f>"444001"</f>
        <v>444001</v>
      </c>
      <c r="D905" s="12" t="s">
        <v>1057</v>
      </c>
      <c r="E905" s="14" t="s">
        <v>116</v>
      </c>
      <c r="F905" s="12" t="s">
        <v>3</v>
      </c>
      <c r="G905" s="15">
        <v>98</v>
      </c>
      <c r="H905" s="12" t="s">
        <v>1053</v>
      </c>
      <c r="I905" s="12" t="s">
        <v>60</v>
      </c>
      <c r="K905" s="16">
        <v>12.45</v>
      </c>
      <c r="L905" s="16">
        <v>19.5</v>
      </c>
      <c r="M905" s="16">
        <v>21</v>
      </c>
    </row>
    <row r="906" spans="2:13" outlineLevel="2" x14ac:dyDescent="0.2"/>
    <row r="907" spans="2:13" ht="33.75" outlineLevel="3" x14ac:dyDescent="0.2">
      <c r="B907" s="4" t="str">
        <f t="shared" ref="B907:B912" si="25">"0010480030"</f>
        <v>0010480030</v>
      </c>
      <c r="C907" s="5" t="str">
        <f>"420686"</f>
        <v>420686</v>
      </c>
      <c r="D907" s="12" t="s">
        <v>1055</v>
      </c>
      <c r="E907" s="14" t="s">
        <v>289</v>
      </c>
      <c r="F907" s="12" t="s">
        <v>3</v>
      </c>
      <c r="G907" s="15">
        <v>28</v>
      </c>
      <c r="H907" s="12" t="s">
        <v>1053</v>
      </c>
      <c r="I907" s="12" t="s">
        <v>28</v>
      </c>
      <c r="J907" s="2" t="s">
        <v>1400</v>
      </c>
      <c r="K907" s="16" t="s">
        <v>1401</v>
      </c>
      <c r="L907" s="16" t="s">
        <v>1401</v>
      </c>
      <c r="M907" s="16">
        <v>21.27</v>
      </c>
    </row>
    <row r="908" spans="2:13" ht="33.75" outlineLevel="3" x14ac:dyDescent="0.2">
      <c r="B908" s="4" t="str">
        <f t="shared" si="25"/>
        <v>0010480030</v>
      </c>
      <c r="C908" s="5" t="str">
        <f>"005954"</f>
        <v>005954</v>
      </c>
      <c r="D908" s="12" t="s">
        <v>1058</v>
      </c>
      <c r="E908" s="14" t="s">
        <v>289</v>
      </c>
      <c r="F908" s="12" t="s">
        <v>3</v>
      </c>
      <c r="G908" s="15">
        <v>28</v>
      </c>
      <c r="H908" s="12" t="s">
        <v>1053</v>
      </c>
      <c r="I908" s="12" t="s">
        <v>109</v>
      </c>
      <c r="K908" s="16">
        <v>12.63</v>
      </c>
      <c r="L908" s="16">
        <v>19.77</v>
      </c>
      <c r="M908" s="16">
        <v>21.27</v>
      </c>
    </row>
    <row r="909" spans="2:13" ht="33.75" outlineLevel="3" x14ac:dyDescent="0.2">
      <c r="B909" s="4" t="str">
        <f t="shared" si="25"/>
        <v>0010480030</v>
      </c>
      <c r="C909" s="5" t="str">
        <f>"135073"</f>
        <v>135073</v>
      </c>
      <c r="D909" s="12" t="s">
        <v>1054</v>
      </c>
      <c r="E909" s="14" t="s">
        <v>289</v>
      </c>
      <c r="F909" s="12" t="s">
        <v>3</v>
      </c>
      <c r="G909" s="15">
        <v>28</v>
      </c>
      <c r="H909" s="12" t="s">
        <v>1053</v>
      </c>
      <c r="I909" s="12" t="s">
        <v>30</v>
      </c>
      <c r="K909" s="16">
        <v>12.63</v>
      </c>
      <c r="L909" s="16">
        <v>19.77</v>
      </c>
      <c r="M909" s="16">
        <v>21.27</v>
      </c>
    </row>
    <row r="910" spans="2:13" ht="33.75" outlineLevel="3" x14ac:dyDescent="0.2">
      <c r="B910" s="4" t="str">
        <f t="shared" si="25"/>
        <v>0010480030</v>
      </c>
      <c r="C910" s="5" t="str">
        <f>"156451"</f>
        <v>156451</v>
      </c>
      <c r="D910" s="12" t="s">
        <v>1059</v>
      </c>
      <c r="E910" s="14" t="s">
        <v>289</v>
      </c>
      <c r="F910" s="12" t="s">
        <v>3</v>
      </c>
      <c r="G910" s="15">
        <v>28</v>
      </c>
      <c r="H910" s="12" t="s">
        <v>1053</v>
      </c>
      <c r="I910" s="12" t="s">
        <v>68</v>
      </c>
      <c r="K910" s="16">
        <v>12.63</v>
      </c>
      <c r="L910" s="16">
        <v>19.77</v>
      </c>
      <c r="M910" s="16">
        <v>21.27</v>
      </c>
    </row>
    <row r="911" spans="2:13" ht="33.75" outlineLevel="3" x14ac:dyDescent="0.2">
      <c r="B911" s="4" t="str">
        <f t="shared" si="25"/>
        <v>0010480030</v>
      </c>
      <c r="C911" s="5" t="str">
        <f>"499161"</f>
        <v>499161</v>
      </c>
      <c r="D911" s="12" t="s">
        <v>1056</v>
      </c>
      <c r="E911" s="14" t="s">
        <v>289</v>
      </c>
      <c r="F911" s="12" t="s">
        <v>3</v>
      </c>
      <c r="G911" s="15">
        <v>28</v>
      </c>
      <c r="H911" s="12" t="s">
        <v>1053</v>
      </c>
      <c r="I911" s="12" t="s">
        <v>70</v>
      </c>
      <c r="K911" s="16">
        <v>12.63</v>
      </c>
      <c r="L911" s="16">
        <v>19.77</v>
      </c>
      <c r="M911" s="16">
        <v>21.27</v>
      </c>
    </row>
    <row r="912" spans="2:13" ht="33.75" outlineLevel="3" x14ac:dyDescent="0.2">
      <c r="B912" s="4" t="str">
        <f t="shared" si="25"/>
        <v>0010480030</v>
      </c>
      <c r="C912" s="5" t="str">
        <f>"595392"</f>
        <v>595392</v>
      </c>
      <c r="D912" s="12" t="s">
        <v>1052</v>
      </c>
      <c r="E912" s="14" t="s">
        <v>289</v>
      </c>
      <c r="F912" s="12" t="s">
        <v>3</v>
      </c>
      <c r="G912" s="15">
        <v>28</v>
      </c>
      <c r="H912" s="12" t="s">
        <v>1053</v>
      </c>
      <c r="I912" s="12" t="s">
        <v>5</v>
      </c>
      <c r="K912" s="16">
        <v>12.63</v>
      </c>
      <c r="L912" s="16">
        <v>19.77</v>
      </c>
      <c r="M912" s="16">
        <v>21.27</v>
      </c>
    </row>
    <row r="913" spans="1:13" outlineLevel="2" x14ac:dyDescent="0.2"/>
    <row r="914" spans="1:13" ht="33.75" outlineLevel="3" x14ac:dyDescent="0.2">
      <c r="B914" s="4" t="str">
        <f t="shared" ref="B914:B920" si="26">"0010480100"</f>
        <v>0010480100</v>
      </c>
      <c r="C914" s="5" t="str">
        <f>"035079"</f>
        <v>035079</v>
      </c>
      <c r="D914" s="12" t="s">
        <v>1055</v>
      </c>
      <c r="E914" s="14" t="s">
        <v>289</v>
      </c>
      <c r="F914" s="12" t="s">
        <v>3</v>
      </c>
      <c r="G914" s="15">
        <v>98</v>
      </c>
      <c r="H914" s="12" t="s">
        <v>1053</v>
      </c>
      <c r="I914" s="12" t="s">
        <v>28</v>
      </c>
      <c r="J914" s="2" t="s">
        <v>1400</v>
      </c>
      <c r="K914" s="16" t="s">
        <v>1401</v>
      </c>
      <c r="L914" s="16" t="s">
        <v>1401</v>
      </c>
      <c r="M914" s="16">
        <v>28.43</v>
      </c>
    </row>
    <row r="915" spans="1:13" ht="33.75" outlineLevel="3" x14ac:dyDescent="0.2">
      <c r="B915" s="4" t="str">
        <f t="shared" si="26"/>
        <v>0010480100</v>
      </c>
      <c r="C915" s="5" t="str">
        <f>"005976"</f>
        <v>005976</v>
      </c>
      <c r="D915" s="12" t="s">
        <v>1058</v>
      </c>
      <c r="E915" s="14" t="s">
        <v>289</v>
      </c>
      <c r="F915" s="12" t="s">
        <v>3</v>
      </c>
      <c r="G915" s="15">
        <v>98</v>
      </c>
      <c r="H915" s="12" t="s">
        <v>1053</v>
      </c>
      <c r="I915" s="12" t="s">
        <v>109</v>
      </c>
      <c r="K915" s="16">
        <v>17.510000000000002</v>
      </c>
      <c r="L915" s="16">
        <v>27.02</v>
      </c>
      <c r="M915" s="16">
        <v>28.43</v>
      </c>
    </row>
    <row r="916" spans="1:13" ht="33.75" outlineLevel="3" x14ac:dyDescent="0.2">
      <c r="B916" s="4" t="str">
        <f t="shared" si="26"/>
        <v>0010480100</v>
      </c>
      <c r="C916" s="5" t="str">
        <f>"135084"</f>
        <v>135084</v>
      </c>
      <c r="D916" s="12" t="s">
        <v>1054</v>
      </c>
      <c r="E916" s="14" t="s">
        <v>289</v>
      </c>
      <c r="F916" s="12" t="s">
        <v>3</v>
      </c>
      <c r="G916" s="15">
        <v>98</v>
      </c>
      <c r="H916" s="12" t="s">
        <v>1053</v>
      </c>
      <c r="I916" s="12" t="s">
        <v>30</v>
      </c>
      <c r="K916" s="16">
        <v>17.510000000000002</v>
      </c>
      <c r="L916" s="16">
        <v>27.02</v>
      </c>
      <c r="M916" s="16">
        <v>28.43</v>
      </c>
    </row>
    <row r="917" spans="1:13" ht="33.75" outlineLevel="3" x14ac:dyDescent="0.2">
      <c r="B917" s="4" t="str">
        <f t="shared" si="26"/>
        <v>0010480100</v>
      </c>
      <c r="C917" s="5" t="str">
        <f>"156462"</f>
        <v>156462</v>
      </c>
      <c r="D917" s="12" t="s">
        <v>1059</v>
      </c>
      <c r="E917" s="14" t="s">
        <v>289</v>
      </c>
      <c r="F917" s="12" t="s">
        <v>3</v>
      </c>
      <c r="G917" s="15">
        <v>98</v>
      </c>
      <c r="H917" s="12" t="s">
        <v>1053</v>
      </c>
      <c r="I917" s="12" t="s">
        <v>68</v>
      </c>
      <c r="K917" s="16">
        <v>17.510000000000002</v>
      </c>
      <c r="L917" s="16">
        <v>27.02</v>
      </c>
      <c r="M917" s="16">
        <v>28.43</v>
      </c>
    </row>
    <row r="918" spans="1:13" ht="33.75" outlineLevel="3" x14ac:dyDescent="0.2">
      <c r="B918" s="4" t="str">
        <f t="shared" si="26"/>
        <v>0010480100</v>
      </c>
      <c r="C918" s="5" t="str">
        <f>"395732"</f>
        <v>395732</v>
      </c>
      <c r="D918" s="12" t="s">
        <v>1052</v>
      </c>
      <c r="E918" s="14" t="s">
        <v>289</v>
      </c>
      <c r="F918" s="12" t="s">
        <v>3</v>
      </c>
      <c r="G918" s="15">
        <v>98</v>
      </c>
      <c r="H918" s="12" t="s">
        <v>1053</v>
      </c>
      <c r="I918" s="12" t="s">
        <v>5</v>
      </c>
      <c r="K918" s="16">
        <v>17.510000000000002</v>
      </c>
      <c r="L918" s="16">
        <v>27.02</v>
      </c>
      <c r="M918" s="16">
        <v>28.43</v>
      </c>
    </row>
    <row r="919" spans="1:13" ht="33.75" outlineLevel="3" x14ac:dyDescent="0.2">
      <c r="B919" s="4" t="str">
        <f t="shared" si="26"/>
        <v>0010480100</v>
      </c>
      <c r="C919" s="5" t="str">
        <f>"580821"</f>
        <v>580821</v>
      </c>
      <c r="D919" s="12" t="s">
        <v>1056</v>
      </c>
      <c r="E919" s="14" t="s">
        <v>289</v>
      </c>
      <c r="F919" s="12" t="s">
        <v>3</v>
      </c>
      <c r="G919" s="15">
        <v>98</v>
      </c>
      <c r="H919" s="12" t="s">
        <v>1053</v>
      </c>
      <c r="I919" s="12" t="s">
        <v>70</v>
      </c>
      <c r="K919" s="16">
        <v>17.510000000000002</v>
      </c>
      <c r="L919" s="16">
        <v>27.02</v>
      </c>
      <c r="M919" s="16">
        <v>28.43</v>
      </c>
    </row>
    <row r="920" spans="1:13" ht="33.75" outlineLevel="3" x14ac:dyDescent="0.2">
      <c r="B920" s="4" t="str">
        <f t="shared" si="26"/>
        <v>0010480100</v>
      </c>
      <c r="C920" s="5" t="str">
        <f>"079364"</f>
        <v>079364</v>
      </c>
      <c r="D920" s="12" t="s">
        <v>1057</v>
      </c>
      <c r="E920" s="14" t="s">
        <v>289</v>
      </c>
      <c r="F920" s="12" t="s">
        <v>3</v>
      </c>
      <c r="G920" s="15">
        <v>98</v>
      </c>
      <c r="H920" s="12" t="s">
        <v>1053</v>
      </c>
      <c r="I920" s="12" t="s">
        <v>60</v>
      </c>
      <c r="K920" s="16">
        <v>17.45</v>
      </c>
      <c r="L920" s="16">
        <v>26.93</v>
      </c>
      <c r="M920" s="16">
        <v>28.43</v>
      </c>
    </row>
    <row r="921" spans="1:13" outlineLevel="2" x14ac:dyDescent="0.2"/>
    <row r="922" spans="1:13" ht="33.75" outlineLevel="3" x14ac:dyDescent="0.2">
      <c r="B922" s="4" t="str">
        <f>"0011670100"</f>
        <v>0011670100</v>
      </c>
      <c r="C922" s="5" t="str">
        <f>"480216"</f>
        <v>480216</v>
      </c>
      <c r="D922" s="12" t="s">
        <v>1055</v>
      </c>
      <c r="E922" s="14" t="s">
        <v>1153</v>
      </c>
      <c r="F922" s="12" t="s">
        <v>3</v>
      </c>
      <c r="G922" s="15">
        <v>98</v>
      </c>
      <c r="H922" s="12" t="s">
        <v>1053</v>
      </c>
      <c r="I922" s="12" t="s">
        <v>28</v>
      </c>
      <c r="J922" s="2" t="s">
        <v>1400</v>
      </c>
      <c r="K922" s="16" t="s">
        <v>1401</v>
      </c>
      <c r="L922" s="16" t="s">
        <v>1401</v>
      </c>
      <c r="M922" s="16">
        <v>31.48</v>
      </c>
    </row>
    <row r="923" spans="1:13" ht="33.75" outlineLevel="3" x14ac:dyDescent="0.2">
      <c r="B923" s="4" t="str">
        <f>"0011670100"</f>
        <v>0011670100</v>
      </c>
      <c r="C923" s="5" t="str">
        <f>"094356"</f>
        <v>094356</v>
      </c>
      <c r="D923" s="12" t="s">
        <v>1054</v>
      </c>
      <c r="E923" s="14" t="s">
        <v>1153</v>
      </c>
      <c r="F923" s="12" t="s">
        <v>3</v>
      </c>
      <c r="G923" s="15">
        <v>98</v>
      </c>
      <c r="H923" s="12" t="s">
        <v>1053</v>
      </c>
      <c r="I923" s="12" t="s">
        <v>30</v>
      </c>
      <c r="K923" s="16">
        <v>21.01</v>
      </c>
      <c r="L923" s="16">
        <v>32.21</v>
      </c>
      <c r="M923" s="16">
        <v>31.48</v>
      </c>
    </row>
    <row r="924" spans="1:13" ht="33.75" outlineLevel="3" x14ac:dyDescent="0.2">
      <c r="B924" s="4" t="str">
        <f>"0011670100"</f>
        <v>0011670100</v>
      </c>
      <c r="C924" s="5" t="str">
        <f>"179067"</f>
        <v>179067</v>
      </c>
      <c r="D924" s="12" t="s">
        <v>1059</v>
      </c>
      <c r="E924" s="14" t="s">
        <v>1153</v>
      </c>
      <c r="F924" s="12" t="s">
        <v>3</v>
      </c>
      <c r="G924" s="15">
        <v>98</v>
      </c>
      <c r="H924" s="12" t="s">
        <v>1053</v>
      </c>
      <c r="I924" s="12" t="s">
        <v>68</v>
      </c>
      <c r="K924" s="16">
        <v>21.01</v>
      </c>
      <c r="L924" s="16">
        <v>32.21</v>
      </c>
      <c r="M924" s="16">
        <v>31.48</v>
      </c>
    </row>
    <row r="925" spans="1:13" ht="33.75" outlineLevel="3" x14ac:dyDescent="0.2">
      <c r="B925" s="4" t="str">
        <f>"0011670100"</f>
        <v>0011670100</v>
      </c>
      <c r="C925" s="5" t="str">
        <f>"182393"</f>
        <v>182393</v>
      </c>
      <c r="D925" s="12" t="s">
        <v>1052</v>
      </c>
      <c r="E925" s="14" t="s">
        <v>1153</v>
      </c>
      <c r="F925" s="12" t="s">
        <v>3</v>
      </c>
      <c r="G925" s="15">
        <v>98</v>
      </c>
      <c r="H925" s="12" t="s">
        <v>1053</v>
      </c>
      <c r="I925" s="12" t="s">
        <v>5</v>
      </c>
      <c r="K925" s="16">
        <v>21.01</v>
      </c>
      <c r="L925" s="16">
        <v>32.21</v>
      </c>
      <c r="M925" s="16">
        <v>31.48</v>
      </c>
    </row>
    <row r="926" spans="1:13" ht="33.75" outlineLevel="3" x14ac:dyDescent="0.2">
      <c r="B926" s="4" t="str">
        <f>"0011670100"</f>
        <v>0011670100</v>
      </c>
      <c r="C926" s="5" t="str">
        <f>"482649"</f>
        <v>482649</v>
      </c>
      <c r="D926" s="12" t="s">
        <v>1057</v>
      </c>
      <c r="E926" s="14" t="s">
        <v>1153</v>
      </c>
      <c r="F926" s="12" t="s">
        <v>3</v>
      </c>
      <c r="G926" s="15">
        <v>98</v>
      </c>
      <c r="H926" s="12" t="s">
        <v>1053</v>
      </c>
      <c r="I926" s="12" t="s">
        <v>60</v>
      </c>
      <c r="K926" s="16">
        <v>19.5</v>
      </c>
      <c r="L926" s="16">
        <v>29.98</v>
      </c>
      <c r="M926" s="16">
        <v>31.48</v>
      </c>
    </row>
    <row r="927" spans="1:13" outlineLevel="1" x14ac:dyDescent="0.2">
      <c r="A927" s="3"/>
    </row>
    <row r="928" spans="1:13" outlineLevel="2" x14ac:dyDescent="0.2">
      <c r="A928" s="3" t="s">
        <v>1450</v>
      </c>
    </row>
    <row r="929" spans="2:13" outlineLevel="3" x14ac:dyDescent="0.2">
      <c r="B929" s="4" t="str">
        <f>"0011820030"</f>
        <v>0011820030</v>
      </c>
      <c r="C929" s="5" t="str">
        <f>"394594"</f>
        <v>394594</v>
      </c>
      <c r="D929" s="12" t="s">
        <v>1164</v>
      </c>
      <c r="E929" s="14" t="s">
        <v>179</v>
      </c>
      <c r="F929" s="12" t="s">
        <v>73</v>
      </c>
      <c r="G929" s="15">
        <v>30</v>
      </c>
      <c r="H929" s="12" t="s">
        <v>1165</v>
      </c>
      <c r="I929" s="12" t="s">
        <v>70</v>
      </c>
      <c r="K929" s="16">
        <v>6.38</v>
      </c>
      <c r="L929" s="16">
        <v>10.18</v>
      </c>
      <c r="M929" s="16">
        <v>9.7899999999999991</v>
      </c>
    </row>
    <row r="930" spans="2:13" outlineLevel="3" x14ac:dyDescent="0.2">
      <c r="B930" s="4" t="str">
        <f>"0011820030"</f>
        <v>0011820030</v>
      </c>
      <c r="C930" s="5" t="str">
        <f>"402773"</f>
        <v>402773</v>
      </c>
      <c r="D930" s="12" t="s">
        <v>1166</v>
      </c>
      <c r="E930" s="14" t="s">
        <v>179</v>
      </c>
      <c r="F930" s="12" t="s">
        <v>73</v>
      </c>
      <c r="G930" s="15">
        <v>28</v>
      </c>
      <c r="H930" s="12" t="s">
        <v>1165</v>
      </c>
      <c r="I930" s="12" t="s">
        <v>5</v>
      </c>
      <c r="K930" s="16">
        <v>6.38</v>
      </c>
      <c r="L930" s="16">
        <v>10.18</v>
      </c>
      <c r="M930" s="16">
        <v>9.7899999999999991</v>
      </c>
    </row>
    <row r="931" spans="2:13" outlineLevel="3" x14ac:dyDescent="0.2">
      <c r="B931" s="4" t="str">
        <f>"0011820030"</f>
        <v>0011820030</v>
      </c>
      <c r="C931" s="5" t="str">
        <f>"461423"</f>
        <v>461423</v>
      </c>
      <c r="D931" s="12" t="s">
        <v>1167</v>
      </c>
      <c r="E931" s="14" t="s">
        <v>179</v>
      </c>
      <c r="F931" s="12" t="s">
        <v>73</v>
      </c>
      <c r="G931" s="15">
        <v>28</v>
      </c>
      <c r="H931" s="12" t="s">
        <v>1165</v>
      </c>
      <c r="I931" s="12" t="s">
        <v>30</v>
      </c>
      <c r="K931" s="16">
        <v>6.38</v>
      </c>
      <c r="L931" s="16">
        <v>10.18</v>
      </c>
      <c r="M931" s="16">
        <v>9.7899999999999991</v>
      </c>
    </row>
    <row r="932" spans="2:13" outlineLevel="3" x14ac:dyDescent="0.2">
      <c r="B932" s="4" t="str">
        <f>"0011820030"</f>
        <v>0011820030</v>
      </c>
      <c r="C932" s="5" t="str">
        <f>"478612"</f>
        <v>478612</v>
      </c>
      <c r="D932" s="12" t="s">
        <v>1168</v>
      </c>
      <c r="E932" s="14" t="s">
        <v>179</v>
      </c>
      <c r="F932" s="12" t="s">
        <v>73</v>
      </c>
      <c r="G932" s="15">
        <v>28</v>
      </c>
      <c r="H932" s="12" t="s">
        <v>1165</v>
      </c>
      <c r="I932" s="12" t="s">
        <v>28</v>
      </c>
      <c r="K932" s="16">
        <v>6.38</v>
      </c>
      <c r="L932" s="16">
        <v>10.18</v>
      </c>
      <c r="M932" s="16">
        <v>9.7899999999999991</v>
      </c>
    </row>
    <row r="933" spans="2:13" ht="22.5" outlineLevel="3" x14ac:dyDescent="0.2">
      <c r="B933" s="4" t="str">
        <f>"0011820030"</f>
        <v>0011820030</v>
      </c>
      <c r="C933" s="5" t="str">
        <f>"523774"</f>
        <v>523774</v>
      </c>
      <c r="D933" s="12" t="s">
        <v>1169</v>
      </c>
      <c r="E933" s="14" t="s">
        <v>179</v>
      </c>
      <c r="F933" s="12" t="s">
        <v>73</v>
      </c>
      <c r="G933" s="15">
        <v>28</v>
      </c>
      <c r="H933" s="12" t="s">
        <v>1165</v>
      </c>
      <c r="I933" s="12" t="s">
        <v>60</v>
      </c>
      <c r="K933" s="16">
        <v>5.2</v>
      </c>
      <c r="L933" s="16">
        <v>8.2899999999999991</v>
      </c>
      <c r="M933" s="16">
        <v>9.7899999999999991</v>
      </c>
    </row>
    <row r="934" spans="2:13" outlineLevel="3" x14ac:dyDescent="0.2">
      <c r="B934" s="4" t="str">
        <f t="shared" ref="B934:B941" si="27">"0011820100"</f>
        <v>0011820100</v>
      </c>
      <c r="C934" s="5" t="str">
        <f>"037895"</f>
        <v>037895</v>
      </c>
      <c r="D934" s="12" t="s">
        <v>1171</v>
      </c>
      <c r="E934" s="14" t="s">
        <v>179</v>
      </c>
      <c r="F934" s="12" t="s">
        <v>73</v>
      </c>
      <c r="G934" s="15">
        <v>98</v>
      </c>
      <c r="H934" s="12" t="s">
        <v>1165</v>
      </c>
      <c r="I934" s="12" t="s">
        <v>22</v>
      </c>
      <c r="K934" s="16">
        <v>24.33</v>
      </c>
      <c r="L934" s="16">
        <v>37.15</v>
      </c>
      <c r="M934" s="16">
        <v>12.35</v>
      </c>
    </row>
    <row r="935" spans="2:13" outlineLevel="3" x14ac:dyDescent="0.2">
      <c r="B935" s="4" t="str">
        <f t="shared" si="27"/>
        <v>0011820100</v>
      </c>
      <c r="C935" s="5" t="str">
        <f>"061467"</f>
        <v>061467</v>
      </c>
      <c r="D935" s="12" t="s">
        <v>1166</v>
      </c>
      <c r="E935" s="14" t="s">
        <v>179</v>
      </c>
      <c r="F935" s="12" t="s">
        <v>73</v>
      </c>
      <c r="G935" s="15">
        <v>98</v>
      </c>
      <c r="H935" s="12" t="s">
        <v>1165</v>
      </c>
      <c r="I935" s="12" t="s">
        <v>5</v>
      </c>
      <c r="K935" s="16">
        <v>7.94</v>
      </c>
      <c r="L935" s="16">
        <v>12.66</v>
      </c>
      <c r="M935" s="16">
        <v>12.35</v>
      </c>
    </row>
    <row r="936" spans="2:13" outlineLevel="3" x14ac:dyDescent="0.2">
      <c r="B936" s="4" t="str">
        <f t="shared" si="27"/>
        <v>0011820100</v>
      </c>
      <c r="C936" s="5" t="str">
        <f>"160972"</f>
        <v>160972</v>
      </c>
      <c r="D936" s="12" t="s">
        <v>1168</v>
      </c>
      <c r="E936" s="14" t="s">
        <v>179</v>
      </c>
      <c r="F936" s="12" t="s">
        <v>73</v>
      </c>
      <c r="G936" s="15">
        <v>98</v>
      </c>
      <c r="H936" s="12" t="s">
        <v>1165</v>
      </c>
      <c r="I936" s="12" t="s">
        <v>28</v>
      </c>
      <c r="K936" s="16">
        <v>7.94</v>
      </c>
      <c r="L936" s="16">
        <v>12.66</v>
      </c>
      <c r="M936" s="16">
        <v>12.35</v>
      </c>
    </row>
    <row r="937" spans="2:13" ht="22.5" outlineLevel="3" x14ac:dyDescent="0.2">
      <c r="B937" s="4" t="str">
        <f t="shared" si="27"/>
        <v>0011820100</v>
      </c>
      <c r="C937" s="5" t="str">
        <f>"396970"</f>
        <v>396970</v>
      </c>
      <c r="D937" s="12" t="s">
        <v>1172</v>
      </c>
      <c r="E937" s="14" t="s">
        <v>179</v>
      </c>
      <c r="F937" s="12" t="s">
        <v>73</v>
      </c>
      <c r="G937" s="15">
        <v>100</v>
      </c>
      <c r="H937" s="12" t="s">
        <v>1165</v>
      </c>
      <c r="I937" s="12" t="s">
        <v>68</v>
      </c>
      <c r="K937" s="16">
        <v>7.94</v>
      </c>
      <c r="L937" s="16">
        <v>12.66</v>
      </c>
      <c r="M937" s="16">
        <v>12.35</v>
      </c>
    </row>
    <row r="938" spans="2:13" outlineLevel="3" x14ac:dyDescent="0.2">
      <c r="B938" s="4" t="str">
        <f t="shared" si="27"/>
        <v>0011820100</v>
      </c>
      <c r="C938" s="5" t="str">
        <f>"435278"</f>
        <v>435278</v>
      </c>
      <c r="D938" s="12" t="s">
        <v>1164</v>
      </c>
      <c r="E938" s="14" t="s">
        <v>179</v>
      </c>
      <c r="F938" s="12" t="s">
        <v>73</v>
      </c>
      <c r="G938" s="15">
        <v>100</v>
      </c>
      <c r="H938" s="12" t="s">
        <v>1165</v>
      </c>
      <c r="I938" s="12" t="s">
        <v>70</v>
      </c>
      <c r="K938" s="16">
        <v>7.94</v>
      </c>
      <c r="L938" s="16">
        <v>12.66</v>
      </c>
      <c r="M938" s="16">
        <v>12.35</v>
      </c>
    </row>
    <row r="939" spans="2:13" outlineLevel="3" x14ac:dyDescent="0.2">
      <c r="B939" s="4" t="str">
        <f t="shared" si="27"/>
        <v>0011820100</v>
      </c>
      <c r="C939" s="5" t="str">
        <f>"587757"</f>
        <v>587757</v>
      </c>
      <c r="D939" s="12" t="s">
        <v>1167</v>
      </c>
      <c r="E939" s="14" t="s">
        <v>179</v>
      </c>
      <c r="F939" s="12" t="s">
        <v>73</v>
      </c>
      <c r="G939" s="15">
        <v>98</v>
      </c>
      <c r="H939" s="12" t="s">
        <v>1165</v>
      </c>
      <c r="I939" s="12" t="s">
        <v>30</v>
      </c>
      <c r="K939" s="16">
        <v>7.94</v>
      </c>
      <c r="L939" s="16">
        <v>12.66</v>
      </c>
      <c r="M939" s="16">
        <v>12.35</v>
      </c>
    </row>
    <row r="940" spans="2:13" outlineLevel="3" x14ac:dyDescent="0.2">
      <c r="B940" s="4" t="str">
        <f t="shared" si="27"/>
        <v>0011820100</v>
      </c>
      <c r="C940" s="5" t="str">
        <f>"425208"</f>
        <v>425208</v>
      </c>
      <c r="D940" s="12" t="s">
        <v>1170</v>
      </c>
      <c r="E940" s="14" t="s">
        <v>179</v>
      </c>
      <c r="F940" s="12" t="s">
        <v>73</v>
      </c>
      <c r="G940" s="15">
        <v>98</v>
      </c>
      <c r="H940" s="12" t="s">
        <v>1165</v>
      </c>
      <c r="I940" s="12" t="s">
        <v>11</v>
      </c>
      <c r="J940" s="2" t="s">
        <v>1400</v>
      </c>
      <c r="K940" s="16">
        <v>7.78</v>
      </c>
      <c r="L940" s="16">
        <v>12.41</v>
      </c>
      <c r="M940" s="16">
        <v>12.35</v>
      </c>
    </row>
    <row r="941" spans="2:13" ht="22.5" outlineLevel="3" x14ac:dyDescent="0.2">
      <c r="B941" s="4" t="str">
        <f t="shared" si="27"/>
        <v>0011820100</v>
      </c>
      <c r="C941" s="5" t="str">
        <f>"595586"</f>
        <v>595586</v>
      </c>
      <c r="D941" s="12" t="s">
        <v>1169</v>
      </c>
      <c r="E941" s="14" t="s">
        <v>179</v>
      </c>
      <c r="F941" s="12" t="s">
        <v>73</v>
      </c>
      <c r="G941" s="15">
        <v>98</v>
      </c>
      <c r="H941" s="12" t="s">
        <v>1165</v>
      </c>
      <c r="I941" s="12" t="s">
        <v>60</v>
      </c>
      <c r="K941" s="16">
        <v>6.8</v>
      </c>
      <c r="L941" s="16">
        <v>10.85</v>
      </c>
      <c r="M941" s="16">
        <v>12.35</v>
      </c>
    </row>
    <row r="942" spans="2:13" outlineLevel="2" x14ac:dyDescent="0.2"/>
    <row r="943" spans="2:13" outlineLevel="3" x14ac:dyDescent="0.2">
      <c r="B943" s="4" t="str">
        <f>"0011820250"</f>
        <v>0011820250</v>
      </c>
      <c r="C943" s="5" t="str">
        <f>"480130"</f>
        <v>480130</v>
      </c>
      <c r="D943" s="12" t="s">
        <v>1166</v>
      </c>
      <c r="E943" s="14" t="s">
        <v>179</v>
      </c>
      <c r="F943" s="12" t="s">
        <v>73</v>
      </c>
      <c r="G943" s="15">
        <v>250</v>
      </c>
      <c r="H943" s="12" t="s">
        <v>1165</v>
      </c>
      <c r="I943" s="12" t="s">
        <v>5</v>
      </c>
      <c r="K943" s="16">
        <v>20.260000000000002</v>
      </c>
      <c r="L943" s="16">
        <v>31.1</v>
      </c>
      <c r="M943" s="16">
        <v>32.6</v>
      </c>
    </row>
    <row r="944" spans="2:13" outlineLevel="2" x14ac:dyDescent="0.2"/>
    <row r="945" spans="2:13" outlineLevel="3" x14ac:dyDescent="0.2">
      <c r="B945" s="4" t="str">
        <f t="shared" ref="B945:B951" si="28">"0011830030"</f>
        <v>0011830030</v>
      </c>
      <c r="C945" s="5" t="str">
        <f>"380175"</f>
        <v>380175</v>
      </c>
      <c r="D945" s="12" t="s">
        <v>1170</v>
      </c>
      <c r="E945" s="14" t="s">
        <v>544</v>
      </c>
      <c r="F945" s="12" t="s">
        <v>73</v>
      </c>
      <c r="G945" s="15">
        <v>28</v>
      </c>
      <c r="H945" s="12" t="s">
        <v>1165</v>
      </c>
      <c r="I945" s="12" t="s">
        <v>11</v>
      </c>
      <c r="J945" s="2" t="s">
        <v>1400</v>
      </c>
      <c r="K945" s="16">
        <v>6</v>
      </c>
      <c r="L945" s="16">
        <v>9.57</v>
      </c>
      <c r="M945" s="16">
        <v>10.96</v>
      </c>
    </row>
    <row r="946" spans="2:13" outlineLevel="3" x14ac:dyDescent="0.2">
      <c r="B946" s="4" t="str">
        <f t="shared" si="28"/>
        <v>0011830030</v>
      </c>
      <c r="C946" s="5" t="str">
        <f>"128906"</f>
        <v>128906</v>
      </c>
      <c r="D946" s="12" t="s">
        <v>1166</v>
      </c>
      <c r="E946" s="14" t="s">
        <v>544</v>
      </c>
      <c r="F946" s="12" t="s">
        <v>73</v>
      </c>
      <c r="G946" s="15">
        <v>28</v>
      </c>
      <c r="H946" s="12" t="s">
        <v>1165</v>
      </c>
      <c r="I946" s="12" t="s">
        <v>5</v>
      </c>
      <c r="K946" s="16">
        <v>5.94</v>
      </c>
      <c r="L946" s="16">
        <v>9.4700000000000006</v>
      </c>
      <c r="M946" s="16">
        <v>10.96</v>
      </c>
    </row>
    <row r="947" spans="2:13" ht="22.5" outlineLevel="3" x14ac:dyDescent="0.2">
      <c r="B947" s="4" t="str">
        <f t="shared" si="28"/>
        <v>0011830030</v>
      </c>
      <c r="C947" s="5" t="str">
        <f>"136006"</f>
        <v>136006</v>
      </c>
      <c r="D947" s="12" t="s">
        <v>1172</v>
      </c>
      <c r="E947" s="14" t="s">
        <v>544</v>
      </c>
      <c r="F947" s="12" t="s">
        <v>73</v>
      </c>
      <c r="G947" s="15">
        <v>30</v>
      </c>
      <c r="H947" s="12" t="s">
        <v>1165</v>
      </c>
      <c r="I947" s="12" t="s">
        <v>68</v>
      </c>
      <c r="K947" s="16">
        <v>5.94</v>
      </c>
      <c r="L947" s="16">
        <v>9.4700000000000006</v>
      </c>
      <c r="M947" s="16">
        <v>10.96</v>
      </c>
    </row>
    <row r="948" spans="2:13" outlineLevel="3" x14ac:dyDescent="0.2">
      <c r="B948" s="4" t="str">
        <f t="shared" si="28"/>
        <v>0011830030</v>
      </c>
      <c r="C948" s="5" t="str">
        <f>"151658"</f>
        <v>151658</v>
      </c>
      <c r="D948" s="12" t="s">
        <v>1164</v>
      </c>
      <c r="E948" s="14" t="s">
        <v>544</v>
      </c>
      <c r="F948" s="12" t="s">
        <v>73</v>
      </c>
      <c r="G948" s="15">
        <v>30</v>
      </c>
      <c r="H948" s="12" t="s">
        <v>1165</v>
      </c>
      <c r="I948" s="12" t="s">
        <v>70</v>
      </c>
      <c r="K948" s="16">
        <v>5.94</v>
      </c>
      <c r="L948" s="16">
        <v>9.4700000000000006</v>
      </c>
      <c r="M948" s="16">
        <v>10.96</v>
      </c>
    </row>
    <row r="949" spans="2:13" outlineLevel="3" x14ac:dyDescent="0.2">
      <c r="B949" s="4" t="str">
        <f t="shared" si="28"/>
        <v>0011830030</v>
      </c>
      <c r="C949" s="5" t="str">
        <f>"181948"</f>
        <v>181948</v>
      </c>
      <c r="D949" s="12" t="s">
        <v>1167</v>
      </c>
      <c r="E949" s="14" t="s">
        <v>544</v>
      </c>
      <c r="F949" s="12" t="s">
        <v>73</v>
      </c>
      <c r="G949" s="15">
        <v>28</v>
      </c>
      <c r="H949" s="12" t="s">
        <v>1165</v>
      </c>
      <c r="I949" s="12" t="s">
        <v>30</v>
      </c>
      <c r="K949" s="16">
        <v>5.94</v>
      </c>
      <c r="L949" s="16">
        <v>9.4700000000000006</v>
      </c>
      <c r="M949" s="16">
        <v>10.96</v>
      </c>
    </row>
    <row r="950" spans="2:13" outlineLevel="3" x14ac:dyDescent="0.2">
      <c r="B950" s="4" t="str">
        <f t="shared" si="28"/>
        <v>0011830030</v>
      </c>
      <c r="C950" s="5" t="str">
        <f>"527963"</f>
        <v>527963</v>
      </c>
      <c r="D950" s="12" t="s">
        <v>1168</v>
      </c>
      <c r="E950" s="14" t="s">
        <v>544</v>
      </c>
      <c r="F950" s="12" t="s">
        <v>73</v>
      </c>
      <c r="G950" s="15">
        <v>28</v>
      </c>
      <c r="H950" s="12" t="s">
        <v>1165</v>
      </c>
      <c r="I950" s="12" t="s">
        <v>28</v>
      </c>
      <c r="K950" s="16">
        <v>5.94</v>
      </c>
      <c r="L950" s="16">
        <v>9.4700000000000006</v>
      </c>
      <c r="M950" s="16">
        <v>10.96</v>
      </c>
    </row>
    <row r="951" spans="2:13" ht="22.5" outlineLevel="3" x14ac:dyDescent="0.2">
      <c r="B951" s="4" t="str">
        <f t="shared" si="28"/>
        <v>0011830030</v>
      </c>
      <c r="C951" s="5" t="str">
        <f>"125418"</f>
        <v>125418</v>
      </c>
      <c r="D951" s="12" t="s">
        <v>1169</v>
      </c>
      <c r="E951" s="14" t="s">
        <v>544</v>
      </c>
      <c r="F951" s="12" t="s">
        <v>73</v>
      </c>
      <c r="G951" s="15">
        <v>28</v>
      </c>
      <c r="H951" s="12" t="s">
        <v>1165</v>
      </c>
      <c r="I951" s="12" t="s">
        <v>60</v>
      </c>
      <c r="K951" s="16">
        <v>5.93</v>
      </c>
      <c r="L951" s="16">
        <v>9.4600000000000009</v>
      </c>
      <c r="M951" s="16">
        <v>10.96</v>
      </c>
    </row>
    <row r="952" spans="2:13" outlineLevel="2" x14ac:dyDescent="0.2"/>
    <row r="953" spans="2:13" outlineLevel="3" x14ac:dyDescent="0.2">
      <c r="B953" s="4" t="str">
        <f t="shared" ref="B953:B960" si="29">"0011830100"</f>
        <v>0011830100</v>
      </c>
      <c r="C953" s="5" t="str">
        <f>"036228"</f>
        <v>036228</v>
      </c>
      <c r="D953" s="12" t="s">
        <v>1171</v>
      </c>
      <c r="E953" s="14" t="s">
        <v>544</v>
      </c>
      <c r="F953" s="12" t="s">
        <v>73</v>
      </c>
      <c r="G953" s="15">
        <v>98</v>
      </c>
      <c r="H953" s="12" t="s">
        <v>1165</v>
      </c>
      <c r="I953" s="12" t="s">
        <v>22</v>
      </c>
      <c r="K953" s="16">
        <v>30.25</v>
      </c>
      <c r="L953" s="16">
        <v>45.94</v>
      </c>
      <c r="M953" s="16">
        <v>14.34</v>
      </c>
    </row>
    <row r="954" spans="2:13" outlineLevel="3" x14ac:dyDescent="0.2">
      <c r="B954" s="4" t="str">
        <f t="shared" si="29"/>
        <v>0011830100</v>
      </c>
      <c r="C954" s="5" t="str">
        <f>"158665"</f>
        <v>158665</v>
      </c>
      <c r="D954" s="12" t="s">
        <v>1170</v>
      </c>
      <c r="E954" s="14" t="s">
        <v>544</v>
      </c>
      <c r="F954" s="12" t="s">
        <v>73</v>
      </c>
      <c r="G954" s="15">
        <v>98</v>
      </c>
      <c r="H954" s="12" t="s">
        <v>1165</v>
      </c>
      <c r="I954" s="12" t="s">
        <v>11</v>
      </c>
      <c r="J954" s="2" t="s">
        <v>1400</v>
      </c>
      <c r="K954" s="16">
        <v>9.61</v>
      </c>
      <c r="L954" s="16">
        <v>15.28</v>
      </c>
      <c r="M954" s="16">
        <v>14.34</v>
      </c>
    </row>
    <row r="955" spans="2:13" outlineLevel="3" x14ac:dyDescent="0.2">
      <c r="B955" s="4" t="str">
        <f t="shared" si="29"/>
        <v>0011830100</v>
      </c>
      <c r="C955" s="5" t="str">
        <f>"052067"</f>
        <v>052067</v>
      </c>
      <c r="D955" s="12" t="s">
        <v>1166</v>
      </c>
      <c r="E955" s="14" t="s">
        <v>544</v>
      </c>
      <c r="F955" s="12" t="s">
        <v>73</v>
      </c>
      <c r="G955" s="15">
        <v>98</v>
      </c>
      <c r="H955" s="12" t="s">
        <v>1165</v>
      </c>
      <c r="I955" s="12" t="s">
        <v>5</v>
      </c>
      <c r="K955" s="16">
        <v>9.19</v>
      </c>
      <c r="L955" s="16">
        <v>14.66</v>
      </c>
      <c r="M955" s="16">
        <v>14.34</v>
      </c>
    </row>
    <row r="956" spans="2:13" outlineLevel="3" x14ac:dyDescent="0.2">
      <c r="B956" s="4" t="str">
        <f t="shared" si="29"/>
        <v>0011830100</v>
      </c>
      <c r="C956" s="5" t="str">
        <f>"141096"</f>
        <v>141096</v>
      </c>
      <c r="D956" s="12" t="s">
        <v>1168</v>
      </c>
      <c r="E956" s="14" t="s">
        <v>544</v>
      </c>
      <c r="F956" s="12" t="s">
        <v>73</v>
      </c>
      <c r="G956" s="15">
        <v>98</v>
      </c>
      <c r="H956" s="12" t="s">
        <v>1165</v>
      </c>
      <c r="I956" s="12" t="s">
        <v>28</v>
      </c>
      <c r="K956" s="16">
        <v>9.19</v>
      </c>
      <c r="L956" s="16">
        <v>14.66</v>
      </c>
      <c r="M956" s="16">
        <v>14.34</v>
      </c>
    </row>
    <row r="957" spans="2:13" ht="22.5" outlineLevel="3" x14ac:dyDescent="0.2">
      <c r="B957" s="4" t="str">
        <f t="shared" si="29"/>
        <v>0011830100</v>
      </c>
      <c r="C957" s="5" t="str">
        <f>"418485"</f>
        <v>418485</v>
      </c>
      <c r="D957" s="12" t="s">
        <v>1172</v>
      </c>
      <c r="E957" s="14" t="s">
        <v>544</v>
      </c>
      <c r="F957" s="12" t="s">
        <v>73</v>
      </c>
      <c r="G957" s="15">
        <v>100</v>
      </c>
      <c r="H957" s="12" t="s">
        <v>1165</v>
      </c>
      <c r="I957" s="12" t="s">
        <v>68</v>
      </c>
      <c r="K957" s="16">
        <v>9.19</v>
      </c>
      <c r="L957" s="16">
        <v>14.66</v>
      </c>
      <c r="M957" s="16">
        <v>14.34</v>
      </c>
    </row>
    <row r="958" spans="2:13" outlineLevel="3" x14ac:dyDescent="0.2">
      <c r="B958" s="4" t="str">
        <f t="shared" si="29"/>
        <v>0011830100</v>
      </c>
      <c r="C958" s="5" t="str">
        <f>"464531"</f>
        <v>464531</v>
      </c>
      <c r="D958" s="12" t="s">
        <v>1167</v>
      </c>
      <c r="E958" s="14" t="s">
        <v>544</v>
      </c>
      <c r="F958" s="12" t="s">
        <v>73</v>
      </c>
      <c r="G958" s="15">
        <v>98</v>
      </c>
      <c r="H958" s="12" t="s">
        <v>1165</v>
      </c>
      <c r="I958" s="12" t="s">
        <v>30</v>
      </c>
      <c r="K958" s="16">
        <v>9.19</v>
      </c>
      <c r="L958" s="16">
        <v>14.66</v>
      </c>
      <c r="M958" s="16">
        <v>14.34</v>
      </c>
    </row>
    <row r="959" spans="2:13" outlineLevel="3" x14ac:dyDescent="0.2">
      <c r="B959" s="4" t="str">
        <f t="shared" si="29"/>
        <v>0011830100</v>
      </c>
      <c r="C959" s="5" t="str">
        <f>"599317"</f>
        <v>599317</v>
      </c>
      <c r="D959" s="12" t="s">
        <v>1164</v>
      </c>
      <c r="E959" s="14" t="s">
        <v>544</v>
      </c>
      <c r="F959" s="12" t="s">
        <v>73</v>
      </c>
      <c r="G959" s="15">
        <v>100</v>
      </c>
      <c r="H959" s="12" t="s">
        <v>1165</v>
      </c>
      <c r="I959" s="12" t="s">
        <v>70</v>
      </c>
      <c r="K959" s="16">
        <v>9.19</v>
      </c>
      <c r="L959" s="16">
        <v>14.66</v>
      </c>
      <c r="M959" s="16">
        <v>14.34</v>
      </c>
    </row>
    <row r="960" spans="2:13" ht="22.5" outlineLevel="3" x14ac:dyDescent="0.2">
      <c r="B960" s="4" t="str">
        <f t="shared" si="29"/>
        <v>0011830100</v>
      </c>
      <c r="C960" s="5" t="str">
        <f>"488012"</f>
        <v>488012</v>
      </c>
      <c r="D960" s="12" t="s">
        <v>1169</v>
      </c>
      <c r="E960" s="14" t="s">
        <v>544</v>
      </c>
      <c r="F960" s="12" t="s">
        <v>73</v>
      </c>
      <c r="G960" s="15">
        <v>98</v>
      </c>
      <c r="H960" s="12" t="s">
        <v>1165</v>
      </c>
      <c r="I960" s="12" t="s">
        <v>60</v>
      </c>
      <c r="K960" s="16">
        <v>8.0500000000000007</v>
      </c>
      <c r="L960" s="16">
        <v>12.84</v>
      </c>
      <c r="M960" s="16">
        <v>14.34</v>
      </c>
    </row>
    <row r="961" spans="2:13" outlineLevel="2" x14ac:dyDescent="0.2"/>
    <row r="962" spans="2:13" outlineLevel="3" x14ac:dyDescent="0.2">
      <c r="B962" s="4" t="str">
        <f>"0011830250"</f>
        <v>0011830250</v>
      </c>
      <c r="C962" s="5" t="str">
        <f>"435441"</f>
        <v>435441</v>
      </c>
      <c r="D962" s="12" t="s">
        <v>1166</v>
      </c>
      <c r="E962" s="14" t="s">
        <v>544</v>
      </c>
      <c r="F962" s="12" t="s">
        <v>73</v>
      </c>
      <c r="G962" s="15">
        <v>250</v>
      </c>
      <c r="H962" s="12" t="s">
        <v>1165</v>
      </c>
      <c r="I962" s="12" t="s">
        <v>5</v>
      </c>
      <c r="K962" s="16">
        <v>23.44</v>
      </c>
      <c r="L962" s="16">
        <v>35.82</v>
      </c>
      <c r="M962" s="16">
        <v>37.32</v>
      </c>
    </row>
    <row r="963" spans="2:13" outlineLevel="2" x14ac:dyDescent="0.2"/>
    <row r="964" spans="2:13" outlineLevel="3" x14ac:dyDescent="0.2">
      <c r="B964" s="4" t="str">
        <f t="shared" ref="B964:B969" si="30">"0011840030"</f>
        <v>0011840030</v>
      </c>
      <c r="C964" s="5" t="str">
        <f>"040817"</f>
        <v>040817</v>
      </c>
      <c r="D964" s="12" t="s">
        <v>1166</v>
      </c>
      <c r="E964" s="14" t="s">
        <v>237</v>
      </c>
      <c r="F964" s="12" t="s">
        <v>73</v>
      </c>
      <c r="G964" s="15">
        <v>28</v>
      </c>
      <c r="H964" s="12" t="s">
        <v>1165</v>
      </c>
      <c r="I964" s="12" t="s">
        <v>5</v>
      </c>
      <c r="K964" s="16">
        <v>7.64</v>
      </c>
      <c r="L964" s="16">
        <v>12.19</v>
      </c>
      <c r="M964" s="16">
        <v>12.19</v>
      </c>
    </row>
    <row r="965" spans="2:13" outlineLevel="3" x14ac:dyDescent="0.2">
      <c r="B965" s="4" t="str">
        <f t="shared" si="30"/>
        <v>0011840030</v>
      </c>
      <c r="C965" s="5" t="str">
        <f>"447889"</f>
        <v>447889</v>
      </c>
      <c r="D965" s="12" t="s">
        <v>1168</v>
      </c>
      <c r="E965" s="14" t="s">
        <v>237</v>
      </c>
      <c r="F965" s="12" t="s">
        <v>73</v>
      </c>
      <c r="G965" s="15">
        <v>28</v>
      </c>
      <c r="H965" s="12" t="s">
        <v>1165</v>
      </c>
      <c r="I965" s="12" t="s">
        <v>28</v>
      </c>
      <c r="K965" s="16">
        <v>7.64</v>
      </c>
      <c r="L965" s="16">
        <v>12.19</v>
      </c>
      <c r="M965" s="16">
        <v>12.19</v>
      </c>
    </row>
    <row r="966" spans="2:13" ht="22.5" outlineLevel="3" x14ac:dyDescent="0.2">
      <c r="B966" s="4" t="str">
        <f t="shared" si="30"/>
        <v>0011840030</v>
      </c>
      <c r="C966" s="5" t="str">
        <f>"490421"</f>
        <v>490421</v>
      </c>
      <c r="D966" s="12" t="s">
        <v>1172</v>
      </c>
      <c r="E966" s="14" t="s">
        <v>237</v>
      </c>
      <c r="F966" s="12" t="s">
        <v>73</v>
      </c>
      <c r="G966" s="15">
        <v>30</v>
      </c>
      <c r="H966" s="12" t="s">
        <v>1165</v>
      </c>
      <c r="I966" s="12" t="s">
        <v>68</v>
      </c>
      <c r="K966" s="16">
        <v>7.64</v>
      </c>
      <c r="L966" s="16">
        <v>12.19</v>
      </c>
      <c r="M966" s="16">
        <v>12.19</v>
      </c>
    </row>
    <row r="967" spans="2:13" outlineLevel="3" x14ac:dyDescent="0.2">
      <c r="B967" s="4" t="str">
        <f t="shared" si="30"/>
        <v>0011840030</v>
      </c>
      <c r="C967" s="5" t="str">
        <f>"537477"</f>
        <v>537477</v>
      </c>
      <c r="D967" s="12" t="s">
        <v>1164</v>
      </c>
      <c r="E967" s="14" t="s">
        <v>237</v>
      </c>
      <c r="F967" s="12" t="s">
        <v>73</v>
      </c>
      <c r="G967" s="15">
        <v>30</v>
      </c>
      <c r="H967" s="12" t="s">
        <v>1165</v>
      </c>
      <c r="I967" s="12" t="s">
        <v>70</v>
      </c>
      <c r="K967" s="16">
        <v>7.64</v>
      </c>
      <c r="L967" s="16">
        <v>12.19</v>
      </c>
      <c r="M967" s="16">
        <v>12.19</v>
      </c>
    </row>
    <row r="968" spans="2:13" outlineLevel="3" x14ac:dyDescent="0.2">
      <c r="B968" s="4" t="str">
        <f t="shared" si="30"/>
        <v>0011840030</v>
      </c>
      <c r="C968" s="5" t="str">
        <f>"538035"</f>
        <v>538035</v>
      </c>
      <c r="D968" s="12" t="s">
        <v>1167</v>
      </c>
      <c r="E968" s="14" t="s">
        <v>237</v>
      </c>
      <c r="F968" s="12" t="s">
        <v>73</v>
      </c>
      <c r="G968" s="15">
        <v>28</v>
      </c>
      <c r="H968" s="12" t="s">
        <v>1165</v>
      </c>
      <c r="I968" s="12" t="s">
        <v>30</v>
      </c>
      <c r="K968" s="16">
        <v>7.64</v>
      </c>
      <c r="L968" s="16">
        <v>12.19</v>
      </c>
      <c r="M968" s="16">
        <v>12.19</v>
      </c>
    </row>
    <row r="969" spans="2:13" ht="22.5" outlineLevel="3" x14ac:dyDescent="0.2">
      <c r="B969" s="4" t="str">
        <f t="shared" si="30"/>
        <v>0011840030</v>
      </c>
      <c r="C969" s="5" t="str">
        <f>"441995"</f>
        <v>441995</v>
      </c>
      <c r="D969" s="12" t="s">
        <v>1169</v>
      </c>
      <c r="E969" s="14" t="s">
        <v>237</v>
      </c>
      <c r="F969" s="12" t="s">
        <v>73</v>
      </c>
      <c r="G969" s="15">
        <v>28</v>
      </c>
      <c r="H969" s="12" t="s">
        <v>1165</v>
      </c>
      <c r="I969" s="12" t="s">
        <v>60</v>
      </c>
      <c r="K969" s="16">
        <v>6.7</v>
      </c>
      <c r="L969" s="16">
        <v>10.69</v>
      </c>
      <c r="M969" s="16">
        <v>12.19</v>
      </c>
    </row>
    <row r="970" spans="2:13" outlineLevel="2" x14ac:dyDescent="0.2"/>
    <row r="971" spans="2:13" outlineLevel="3" x14ac:dyDescent="0.2">
      <c r="B971" s="4" t="str">
        <f t="shared" ref="B971:B977" si="31">"0011840100"</f>
        <v>0011840100</v>
      </c>
      <c r="C971" s="5" t="str">
        <f>"035568"</f>
        <v>035568</v>
      </c>
      <c r="D971" s="12" t="s">
        <v>1171</v>
      </c>
      <c r="E971" s="14" t="s">
        <v>237</v>
      </c>
      <c r="F971" s="12" t="s">
        <v>73</v>
      </c>
      <c r="G971" s="15">
        <v>98</v>
      </c>
      <c r="H971" s="12" t="s">
        <v>1165</v>
      </c>
      <c r="I971" s="12" t="s">
        <v>22</v>
      </c>
      <c r="K971" s="16">
        <v>35.75</v>
      </c>
      <c r="L971" s="16">
        <v>54.1</v>
      </c>
      <c r="M971" s="16">
        <v>18.7</v>
      </c>
    </row>
    <row r="972" spans="2:13" outlineLevel="3" x14ac:dyDescent="0.2">
      <c r="B972" s="4" t="str">
        <f t="shared" si="31"/>
        <v>0011840100</v>
      </c>
      <c r="C972" s="5" t="str">
        <f>"151938"</f>
        <v>151938</v>
      </c>
      <c r="D972" s="12" t="s">
        <v>1168</v>
      </c>
      <c r="E972" s="14" t="s">
        <v>237</v>
      </c>
      <c r="F972" s="12" t="s">
        <v>73</v>
      </c>
      <c r="G972" s="15">
        <v>98</v>
      </c>
      <c r="H972" s="12" t="s">
        <v>1165</v>
      </c>
      <c r="I972" s="12" t="s">
        <v>28</v>
      </c>
      <c r="K972" s="16">
        <v>12.06</v>
      </c>
      <c r="L972" s="16">
        <v>18.920000000000002</v>
      </c>
      <c r="M972" s="16">
        <v>18.7</v>
      </c>
    </row>
    <row r="973" spans="2:13" outlineLevel="3" x14ac:dyDescent="0.2">
      <c r="B973" s="4" t="str">
        <f t="shared" si="31"/>
        <v>0011840100</v>
      </c>
      <c r="C973" s="5" t="str">
        <f>"445344"</f>
        <v>445344</v>
      </c>
      <c r="D973" s="12" t="s">
        <v>1166</v>
      </c>
      <c r="E973" s="14" t="s">
        <v>237</v>
      </c>
      <c r="F973" s="12" t="s">
        <v>73</v>
      </c>
      <c r="G973" s="15">
        <v>98</v>
      </c>
      <c r="H973" s="12" t="s">
        <v>1165</v>
      </c>
      <c r="I973" s="12" t="s">
        <v>5</v>
      </c>
      <c r="K973" s="16">
        <v>12.06</v>
      </c>
      <c r="L973" s="16">
        <v>18.920000000000002</v>
      </c>
      <c r="M973" s="16">
        <v>18.7</v>
      </c>
    </row>
    <row r="974" spans="2:13" outlineLevel="3" x14ac:dyDescent="0.2">
      <c r="B974" s="4" t="str">
        <f t="shared" si="31"/>
        <v>0011840100</v>
      </c>
      <c r="C974" s="5" t="str">
        <f>"489551"</f>
        <v>489551</v>
      </c>
      <c r="D974" s="12" t="s">
        <v>1167</v>
      </c>
      <c r="E974" s="14" t="s">
        <v>237</v>
      </c>
      <c r="F974" s="12" t="s">
        <v>73</v>
      </c>
      <c r="G974" s="15">
        <v>98</v>
      </c>
      <c r="H974" s="12" t="s">
        <v>1165</v>
      </c>
      <c r="I974" s="12" t="s">
        <v>30</v>
      </c>
      <c r="K974" s="16">
        <v>12.06</v>
      </c>
      <c r="L974" s="16">
        <v>18.920000000000002</v>
      </c>
      <c r="M974" s="16">
        <v>18.7</v>
      </c>
    </row>
    <row r="975" spans="2:13" ht="22.5" outlineLevel="3" x14ac:dyDescent="0.2">
      <c r="B975" s="4" t="str">
        <f t="shared" si="31"/>
        <v>0011840100</v>
      </c>
      <c r="C975" s="5" t="str">
        <f>"597764"</f>
        <v>597764</v>
      </c>
      <c r="D975" s="12" t="s">
        <v>1172</v>
      </c>
      <c r="E975" s="14" t="s">
        <v>237</v>
      </c>
      <c r="F975" s="12" t="s">
        <v>73</v>
      </c>
      <c r="G975" s="15">
        <v>100</v>
      </c>
      <c r="H975" s="12" t="s">
        <v>1165</v>
      </c>
      <c r="I975" s="12" t="s">
        <v>68</v>
      </c>
      <c r="K975" s="16">
        <v>12.06</v>
      </c>
      <c r="L975" s="16">
        <v>18.920000000000002</v>
      </c>
      <c r="M975" s="16">
        <v>18.7</v>
      </c>
    </row>
    <row r="976" spans="2:13" outlineLevel="3" x14ac:dyDescent="0.2">
      <c r="B976" s="4" t="str">
        <f t="shared" si="31"/>
        <v>0011840100</v>
      </c>
      <c r="C976" s="5" t="str">
        <f>"465078"</f>
        <v>465078</v>
      </c>
      <c r="D976" s="12" t="s">
        <v>1164</v>
      </c>
      <c r="E976" s="14" t="s">
        <v>237</v>
      </c>
      <c r="F976" s="12" t="s">
        <v>73</v>
      </c>
      <c r="G976" s="15">
        <v>100</v>
      </c>
      <c r="H976" s="12" t="s">
        <v>1165</v>
      </c>
      <c r="I976" s="12" t="s">
        <v>70</v>
      </c>
      <c r="K976" s="16">
        <v>12.05</v>
      </c>
      <c r="L976" s="16">
        <v>18.91</v>
      </c>
      <c r="M976" s="16">
        <v>18.7</v>
      </c>
    </row>
    <row r="977" spans="2:13" ht="22.5" outlineLevel="3" x14ac:dyDescent="0.2">
      <c r="B977" s="4" t="str">
        <f t="shared" si="31"/>
        <v>0011840100</v>
      </c>
      <c r="C977" s="5" t="str">
        <f>"417836"</f>
        <v>417836</v>
      </c>
      <c r="D977" s="12" t="s">
        <v>1169</v>
      </c>
      <c r="E977" s="14" t="s">
        <v>237</v>
      </c>
      <c r="F977" s="12" t="s">
        <v>73</v>
      </c>
      <c r="G977" s="15">
        <v>98</v>
      </c>
      <c r="H977" s="12" t="s">
        <v>1165</v>
      </c>
      <c r="I977" s="12" t="s">
        <v>60</v>
      </c>
      <c r="K977" s="16">
        <v>10.9</v>
      </c>
      <c r="L977" s="16">
        <v>17.2</v>
      </c>
      <c r="M977" s="16">
        <v>18.7</v>
      </c>
    </row>
    <row r="978" spans="2:13" outlineLevel="2" x14ac:dyDescent="0.2"/>
    <row r="979" spans="2:13" outlineLevel="3" x14ac:dyDescent="0.2">
      <c r="B979" s="4" t="str">
        <f>"0011840250"</f>
        <v>0011840250</v>
      </c>
      <c r="C979" s="5" t="str">
        <f>"488063"</f>
        <v>488063</v>
      </c>
      <c r="D979" s="12" t="s">
        <v>1166</v>
      </c>
      <c r="E979" s="14" t="s">
        <v>237</v>
      </c>
      <c r="F979" s="12" t="s">
        <v>73</v>
      </c>
      <c r="G979" s="15">
        <v>250</v>
      </c>
      <c r="H979" s="12" t="s">
        <v>1165</v>
      </c>
      <c r="I979" s="12" t="s">
        <v>5</v>
      </c>
      <c r="K979" s="16">
        <v>30.77</v>
      </c>
      <c r="L979" s="16">
        <v>46.71</v>
      </c>
      <c r="M979" s="16">
        <v>48.71</v>
      </c>
    </row>
    <row r="980" spans="2:13" outlineLevel="2" x14ac:dyDescent="0.2"/>
    <row r="981" spans="2:13" outlineLevel="3" x14ac:dyDescent="0.2">
      <c r="B981" s="4" t="str">
        <f>"0011850030"</f>
        <v>0011850030</v>
      </c>
      <c r="C981" s="5" t="str">
        <f>"122485"</f>
        <v>122485</v>
      </c>
      <c r="D981" s="12" t="s">
        <v>1168</v>
      </c>
      <c r="E981" s="14" t="s">
        <v>1173</v>
      </c>
      <c r="F981" s="12" t="s">
        <v>73</v>
      </c>
      <c r="G981" s="15">
        <v>28</v>
      </c>
      <c r="H981" s="12" t="s">
        <v>1165</v>
      </c>
      <c r="I981" s="12" t="s">
        <v>28</v>
      </c>
      <c r="K981" s="16">
        <v>9.35</v>
      </c>
      <c r="L981" s="16">
        <v>14.89</v>
      </c>
      <c r="M981" s="16">
        <v>14.58</v>
      </c>
    </row>
    <row r="982" spans="2:13" outlineLevel="3" x14ac:dyDescent="0.2">
      <c r="B982" s="4" t="str">
        <f>"0011850030"</f>
        <v>0011850030</v>
      </c>
      <c r="C982" s="5" t="str">
        <f>"152644"</f>
        <v>152644</v>
      </c>
      <c r="D982" s="12" t="s">
        <v>1167</v>
      </c>
      <c r="E982" s="14" t="s">
        <v>1173</v>
      </c>
      <c r="F982" s="12" t="s">
        <v>73</v>
      </c>
      <c r="G982" s="15">
        <v>28</v>
      </c>
      <c r="H982" s="12" t="s">
        <v>1165</v>
      </c>
      <c r="I982" s="12" t="s">
        <v>30</v>
      </c>
      <c r="K982" s="16">
        <v>9.35</v>
      </c>
      <c r="L982" s="16">
        <v>14.89</v>
      </c>
      <c r="M982" s="16">
        <v>14.58</v>
      </c>
    </row>
    <row r="983" spans="2:13" outlineLevel="3" x14ac:dyDescent="0.2">
      <c r="B983" s="4" t="str">
        <f>"0011850030"</f>
        <v>0011850030</v>
      </c>
      <c r="C983" s="5" t="str">
        <f>"557896"</f>
        <v>557896</v>
      </c>
      <c r="D983" s="12" t="s">
        <v>1164</v>
      </c>
      <c r="E983" s="14" t="s">
        <v>1173</v>
      </c>
      <c r="F983" s="12" t="s">
        <v>73</v>
      </c>
      <c r="G983" s="15">
        <v>30</v>
      </c>
      <c r="H983" s="12" t="s">
        <v>1165</v>
      </c>
      <c r="I983" s="12" t="s">
        <v>70</v>
      </c>
      <c r="K983" s="16">
        <v>9.35</v>
      </c>
      <c r="L983" s="16">
        <v>14.89</v>
      </c>
      <c r="M983" s="16">
        <v>14.58</v>
      </c>
    </row>
    <row r="984" spans="2:13" outlineLevel="3" x14ac:dyDescent="0.2">
      <c r="B984" s="4" t="str">
        <f>"0011850030"</f>
        <v>0011850030</v>
      </c>
      <c r="C984" s="5" t="str">
        <f>"564394"</f>
        <v>564394</v>
      </c>
      <c r="D984" s="12" t="s">
        <v>1166</v>
      </c>
      <c r="E984" s="14" t="s">
        <v>1173</v>
      </c>
      <c r="F984" s="12" t="s">
        <v>73</v>
      </c>
      <c r="G984" s="15">
        <v>28</v>
      </c>
      <c r="H984" s="12" t="s">
        <v>1165</v>
      </c>
      <c r="I984" s="12" t="s">
        <v>5</v>
      </c>
      <c r="K984" s="16">
        <v>9.35</v>
      </c>
      <c r="L984" s="16">
        <v>14.89</v>
      </c>
      <c r="M984" s="16">
        <v>14.58</v>
      </c>
    </row>
    <row r="985" spans="2:13" ht="22.5" outlineLevel="3" x14ac:dyDescent="0.2">
      <c r="B985" s="4" t="str">
        <f>"0011850030"</f>
        <v>0011850030</v>
      </c>
      <c r="C985" s="5" t="str">
        <f>"077029"</f>
        <v>077029</v>
      </c>
      <c r="D985" s="12" t="s">
        <v>1169</v>
      </c>
      <c r="E985" s="14" t="s">
        <v>1173</v>
      </c>
      <c r="F985" s="12" t="s">
        <v>73</v>
      </c>
      <c r="G985" s="15">
        <v>28</v>
      </c>
      <c r="H985" s="12" t="s">
        <v>1165</v>
      </c>
      <c r="I985" s="12" t="s">
        <v>60</v>
      </c>
      <c r="K985" s="16">
        <v>8.1999999999999993</v>
      </c>
      <c r="L985" s="16">
        <v>13.08</v>
      </c>
      <c r="M985" s="16">
        <v>14.58</v>
      </c>
    </row>
    <row r="986" spans="2:13" outlineLevel="2" x14ac:dyDescent="0.2"/>
    <row r="987" spans="2:13" outlineLevel="3" x14ac:dyDescent="0.2">
      <c r="B987" s="4" t="str">
        <f t="shared" ref="B987:B993" si="32">"0011850100"</f>
        <v>0011850100</v>
      </c>
      <c r="C987" s="5" t="str">
        <f>"019175"</f>
        <v>019175</v>
      </c>
      <c r="D987" s="12" t="s">
        <v>1171</v>
      </c>
      <c r="E987" s="14" t="s">
        <v>1173</v>
      </c>
      <c r="F987" s="12" t="s">
        <v>73</v>
      </c>
      <c r="G987" s="15">
        <v>98</v>
      </c>
      <c r="H987" s="12" t="s">
        <v>1165</v>
      </c>
      <c r="I987" s="12" t="s">
        <v>22</v>
      </c>
      <c r="K987" s="16">
        <v>53.41</v>
      </c>
      <c r="L987" s="16">
        <v>79.53</v>
      </c>
      <c r="M987" s="16">
        <v>24.57</v>
      </c>
    </row>
    <row r="988" spans="2:13" outlineLevel="3" x14ac:dyDescent="0.2">
      <c r="B988" s="4" t="str">
        <f t="shared" si="32"/>
        <v>0011850100</v>
      </c>
      <c r="C988" s="5" t="str">
        <f>"122332"</f>
        <v>122332</v>
      </c>
      <c r="D988" s="12" t="s">
        <v>1166</v>
      </c>
      <c r="E988" s="14" t="s">
        <v>1173</v>
      </c>
      <c r="F988" s="12" t="s">
        <v>73</v>
      </c>
      <c r="G988" s="15">
        <v>98</v>
      </c>
      <c r="H988" s="12" t="s">
        <v>1165</v>
      </c>
      <c r="I988" s="12" t="s">
        <v>5</v>
      </c>
      <c r="K988" s="16">
        <v>16.46</v>
      </c>
      <c r="L988" s="16">
        <v>25.45</v>
      </c>
      <c r="M988" s="16">
        <v>24.57</v>
      </c>
    </row>
    <row r="989" spans="2:13" ht="22.5" outlineLevel="3" x14ac:dyDescent="0.2">
      <c r="B989" s="4" t="str">
        <f t="shared" si="32"/>
        <v>0011850100</v>
      </c>
      <c r="C989" s="5" t="str">
        <f>"152246"</f>
        <v>152246</v>
      </c>
      <c r="D989" s="12" t="s">
        <v>1172</v>
      </c>
      <c r="E989" s="14" t="s">
        <v>1173</v>
      </c>
      <c r="F989" s="12" t="s">
        <v>73</v>
      </c>
      <c r="G989" s="15">
        <v>100</v>
      </c>
      <c r="H989" s="12" t="s">
        <v>1165</v>
      </c>
      <c r="I989" s="12" t="s">
        <v>68</v>
      </c>
      <c r="K989" s="16">
        <v>16.46</v>
      </c>
      <c r="L989" s="16">
        <v>25.45</v>
      </c>
      <c r="M989" s="16">
        <v>24.57</v>
      </c>
    </row>
    <row r="990" spans="2:13" outlineLevel="3" x14ac:dyDescent="0.2">
      <c r="B990" s="4" t="str">
        <f t="shared" si="32"/>
        <v>0011850100</v>
      </c>
      <c r="C990" s="5" t="str">
        <f>"406737"</f>
        <v>406737</v>
      </c>
      <c r="D990" s="12" t="s">
        <v>1164</v>
      </c>
      <c r="E990" s="14" t="s">
        <v>1173</v>
      </c>
      <c r="F990" s="12" t="s">
        <v>73</v>
      </c>
      <c r="G990" s="15">
        <v>100</v>
      </c>
      <c r="H990" s="12" t="s">
        <v>1165</v>
      </c>
      <c r="I990" s="12" t="s">
        <v>70</v>
      </c>
      <c r="K990" s="16">
        <v>16.46</v>
      </c>
      <c r="L990" s="16">
        <v>25.45</v>
      </c>
      <c r="M990" s="16">
        <v>24.57</v>
      </c>
    </row>
    <row r="991" spans="2:13" outlineLevel="3" x14ac:dyDescent="0.2">
      <c r="B991" s="4" t="str">
        <f t="shared" si="32"/>
        <v>0011850100</v>
      </c>
      <c r="C991" s="5" t="str">
        <f>"410083"</f>
        <v>410083</v>
      </c>
      <c r="D991" s="12" t="s">
        <v>1168</v>
      </c>
      <c r="E991" s="14" t="s">
        <v>1173</v>
      </c>
      <c r="F991" s="12" t="s">
        <v>73</v>
      </c>
      <c r="G991" s="15">
        <v>98</v>
      </c>
      <c r="H991" s="12" t="s">
        <v>1165</v>
      </c>
      <c r="I991" s="12" t="s">
        <v>28</v>
      </c>
      <c r="K991" s="16">
        <v>16.46</v>
      </c>
      <c r="L991" s="16">
        <v>25.45</v>
      </c>
      <c r="M991" s="16">
        <v>24.57</v>
      </c>
    </row>
    <row r="992" spans="2:13" outlineLevel="3" x14ac:dyDescent="0.2">
      <c r="B992" s="4" t="str">
        <f t="shared" si="32"/>
        <v>0011850100</v>
      </c>
      <c r="C992" s="5" t="str">
        <f>"424843"</f>
        <v>424843</v>
      </c>
      <c r="D992" s="12" t="s">
        <v>1167</v>
      </c>
      <c r="E992" s="14" t="s">
        <v>1173</v>
      </c>
      <c r="F992" s="12" t="s">
        <v>73</v>
      </c>
      <c r="G992" s="15">
        <v>98</v>
      </c>
      <c r="H992" s="12" t="s">
        <v>1165</v>
      </c>
      <c r="I992" s="12" t="s">
        <v>30</v>
      </c>
      <c r="K992" s="16">
        <v>16.46</v>
      </c>
      <c r="L992" s="16">
        <v>25.45</v>
      </c>
      <c r="M992" s="16">
        <v>24.57</v>
      </c>
    </row>
    <row r="993" spans="1:13" ht="22.5" outlineLevel="3" x14ac:dyDescent="0.2">
      <c r="B993" s="4" t="str">
        <f t="shared" si="32"/>
        <v>0011850100</v>
      </c>
      <c r="C993" s="5" t="str">
        <f>"452239"</f>
        <v>452239</v>
      </c>
      <c r="D993" s="12" t="s">
        <v>1169</v>
      </c>
      <c r="E993" s="14" t="s">
        <v>1173</v>
      </c>
      <c r="F993" s="12" t="s">
        <v>73</v>
      </c>
      <c r="G993" s="15">
        <v>98</v>
      </c>
      <c r="H993" s="12" t="s">
        <v>1165</v>
      </c>
      <c r="I993" s="12" t="s">
        <v>60</v>
      </c>
      <c r="K993" s="16">
        <v>14.85</v>
      </c>
      <c r="L993" s="16">
        <v>23.07</v>
      </c>
      <c r="M993" s="16">
        <v>24.57</v>
      </c>
    </row>
    <row r="994" spans="1:13" outlineLevel="1" x14ac:dyDescent="0.2">
      <c r="A994" s="3"/>
    </row>
    <row r="995" spans="1:13" outlineLevel="2" x14ac:dyDescent="0.2">
      <c r="A995" s="3" t="s">
        <v>1451</v>
      </c>
    </row>
    <row r="996" spans="1:13" ht="22.5" outlineLevel="3" x14ac:dyDescent="0.2">
      <c r="B996" s="4" t="str">
        <f>"0009720030"</f>
        <v>0009720030</v>
      </c>
      <c r="C996" s="5" t="str">
        <f>"409516"</f>
        <v>409516</v>
      </c>
      <c r="D996" s="12" t="s">
        <v>984</v>
      </c>
      <c r="E996" s="14" t="s">
        <v>98</v>
      </c>
      <c r="F996" s="12" t="s">
        <v>73</v>
      </c>
      <c r="G996" s="15">
        <v>28</v>
      </c>
      <c r="H996" s="12" t="s">
        <v>982</v>
      </c>
      <c r="I996" s="12" t="s">
        <v>374</v>
      </c>
      <c r="K996" s="16">
        <v>9.42</v>
      </c>
      <c r="L996" s="16">
        <v>15</v>
      </c>
      <c r="M996" s="16">
        <v>12.35</v>
      </c>
    </row>
    <row r="997" spans="1:13" outlineLevel="3" x14ac:dyDescent="0.2">
      <c r="B997" s="4" t="str">
        <f>"0009720030"</f>
        <v>0009720030</v>
      </c>
      <c r="C997" s="5" t="str">
        <f>"179704"</f>
        <v>179704</v>
      </c>
      <c r="D997" s="12" t="s">
        <v>983</v>
      </c>
      <c r="E997" s="14" t="s">
        <v>98</v>
      </c>
      <c r="F997" s="12" t="s">
        <v>73</v>
      </c>
      <c r="G997" s="15">
        <v>30</v>
      </c>
      <c r="H997" s="12" t="s">
        <v>982</v>
      </c>
      <c r="I997" s="12" t="s">
        <v>5</v>
      </c>
      <c r="K997" s="16">
        <v>7.74</v>
      </c>
      <c r="L997" s="16">
        <v>12.34</v>
      </c>
      <c r="M997" s="16">
        <v>12.35</v>
      </c>
    </row>
    <row r="998" spans="1:13" outlineLevel="3" x14ac:dyDescent="0.2">
      <c r="B998" s="4" t="str">
        <f>"0009720030"</f>
        <v>0009720030</v>
      </c>
      <c r="C998" s="5" t="str">
        <f>"494110"</f>
        <v>494110</v>
      </c>
      <c r="D998" s="12" t="s">
        <v>985</v>
      </c>
      <c r="E998" s="14" t="s">
        <v>98</v>
      </c>
      <c r="F998" s="12" t="s">
        <v>73</v>
      </c>
      <c r="G998" s="15">
        <v>30</v>
      </c>
      <c r="H998" s="12" t="s">
        <v>982</v>
      </c>
      <c r="I998" s="12" t="s">
        <v>70</v>
      </c>
      <c r="K998" s="16">
        <v>7.74</v>
      </c>
      <c r="L998" s="16">
        <v>12.34</v>
      </c>
      <c r="M998" s="16">
        <v>12.35</v>
      </c>
    </row>
    <row r="999" spans="1:13" ht="22.5" outlineLevel="3" x14ac:dyDescent="0.2">
      <c r="B999" s="4" t="str">
        <f>"0009720030"</f>
        <v>0009720030</v>
      </c>
      <c r="C999" s="5" t="str">
        <f>"533008"</f>
        <v>533008</v>
      </c>
      <c r="D999" s="12" t="s">
        <v>986</v>
      </c>
      <c r="E999" s="14" t="s">
        <v>98</v>
      </c>
      <c r="F999" s="12" t="s">
        <v>73</v>
      </c>
      <c r="G999" s="15">
        <v>28</v>
      </c>
      <c r="H999" s="12" t="s">
        <v>982</v>
      </c>
      <c r="I999" s="12" t="s">
        <v>68</v>
      </c>
      <c r="K999" s="16">
        <v>7.74</v>
      </c>
      <c r="L999" s="16">
        <v>12.34</v>
      </c>
      <c r="M999" s="16">
        <v>12.35</v>
      </c>
    </row>
    <row r="1000" spans="1:13" ht="33.75" outlineLevel="3" x14ac:dyDescent="0.2">
      <c r="B1000" s="4" t="str">
        <f>"0009720030"</f>
        <v>0009720030</v>
      </c>
      <c r="C1000" s="5" t="str">
        <f>"068332"</f>
        <v>068332</v>
      </c>
      <c r="D1000" s="12" t="s">
        <v>981</v>
      </c>
      <c r="E1000" s="14" t="s">
        <v>98</v>
      </c>
      <c r="F1000" s="12" t="s">
        <v>3</v>
      </c>
      <c r="G1000" s="15">
        <v>28</v>
      </c>
      <c r="H1000" s="12" t="s">
        <v>982</v>
      </c>
      <c r="I1000" s="12" t="s">
        <v>60</v>
      </c>
      <c r="K1000" s="16">
        <v>6.8</v>
      </c>
      <c r="L1000" s="16">
        <v>10.85</v>
      </c>
      <c r="M1000" s="16">
        <v>12.35</v>
      </c>
    </row>
    <row r="1001" spans="1:13" outlineLevel="3" x14ac:dyDescent="0.2">
      <c r="B1001" s="4" t="str">
        <f t="shared" ref="B1001:B1008" si="33">"0009720100"</f>
        <v>0009720100</v>
      </c>
      <c r="C1001" s="5" t="str">
        <f>"013626"</f>
        <v>013626</v>
      </c>
      <c r="D1001" s="12" t="s">
        <v>987</v>
      </c>
      <c r="E1001" s="14" t="s">
        <v>98</v>
      </c>
      <c r="F1001" s="12" t="s">
        <v>73</v>
      </c>
      <c r="G1001" s="15">
        <v>98</v>
      </c>
      <c r="H1001" s="12" t="s">
        <v>982</v>
      </c>
      <c r="I1001" s="12" t="s">
        <v>325</v>
      </c>
      <c r="K1001" s="16">
        <v>32.94</v>
      </c>
      <c r="L1001" s="16">
        <v>49.93</v>
      </c>
      <c r="M1001" s="16">
        <v>18.850000000000001</v>
      </c>
    </row>
    <row r="1002" spans="1:13" ht="22.5" outlineLevel="3" x14ac:dyDescent="0.2">
      <c r="B1002" s="4" t="str">
        <f t="shared" si="33"/>
        <v>0009720100</v>
      </c>
      <c r="C1002" s="5" t="str">
        <f>"409763"</f>
        <v>409763</v>
      </c>
      <c r="D1002" s="12" t="s">
        <v>984</v>
      </c>
      <c r="E1002" s="14" t="s">
        <v>98</v>
      </c>
      <c r="F1002" s="12" t="s">
        <v>73</v>
      </c>
      <c r="G1002" s="15">
        <v>98</v>
      </c>
      <c r="H1002" s="12" t="s">
        <v>982</v>
      </c>
      <c r="I1002" s="12" t="s">
        <v>374</v>
      </c>
      <c r="K1002" s="16">
        <v>11.01</v>
      </c>
      <c r="L1002" s="16">
        <v>17.36</v>
      </c>
      <c r="M1002" s="16">
        <v>18.850000000000001</v>
      </c>
    </row>
    <row r="1003" spans="1:13" ht="22.5" outlineLevel="3" x14ac:dyDescent="0.2">
      <c r="B1003" s="4" t="str">
        <f t="shared" si="33"/>
        <v>0009720100</v>
      </c>
      <c r="C1003" s="5" t="str">
        <f>"416209"</f>
        <v>416209</v>
      </c>
      <c r="D1003" s="12" t="s">
        <v>988</v>
      </c>
      <c r="E1003" s="14" t="s">
        <v>98</v>
      </c>
      <c r="F1003" s="12" t="s">
        <v>73</v>
      </c>
      <c r="G1003" s="15">
        <v>98</v>
      </c>
      <c r="H1003" s="12" t="s">
        <v>982</v>
      </c>
      <c r="I1003" s="12" t="s">
        <v>509</v>
      </c>
      <c r="K1003" s="16">
        <v>11.01</v>
      </c>
      <c r="L1003" s="16">
        <v>17.36</v>
      </c>
      <c r="M1003" s="16">
        <v>18.850000000000001</v>
      </c>
    </row>
    <row r="1004" spans="1:13" ht="22.5" outlineLevel="3" x14ac:dyDescent="0.2">
      <c r="B1004" s="4" t="str">
        <f t="shared" si="33"/>
        <v>0009720100</v>
      </c>
      <c r="C1004" s="5" t="str">
        <f>"446879"</f>
        <v>446879</v>
      </c>
      <c r="D1004" s="12" t="s">
        <v>988</v>
      </c>
      <c r="E1004" s="14" t="s">
        <v>98</v>
      </c>
      <c r="F1004" s="12" t="s">
        <v>73</v>
      </c>
      <c r="G1004" s="15">
        <v>100</v>
      </c>
      <c r="H1004" s="12" t="s">
        <v>982</v>
      </c>
      <c r="I1004" s="12" t="s">
        <v>509</v>
      </c>
      <c r="K1004" s="16">
        <v>11.01</v>
      </c>
      <c r="L1004" s="16">
        <v>17.36</v>
      </c>
      <c r="M1004" s="16">
        <v>18.850000000000001</v>
      </c>
    </row>
    <row r="1005" spans="1:13" ht="22.5" outlineLevel="3" x14ac:dyDescent="0.2">
      <c r="B1005" s="4" t="str">
        <f t="shared" si="33"/>
        <v>0009720100</v>
      </c>
      <c r="C1005" s="5" t="str">
        <f>"453743"</f>
        <v>453743</v>
      </c>
      <c r="D1005" s="12" t="s">
        <v>986</v>
      </c>
      <c r="E1005" s="14" t="s">
        <v>98</v>
      </c>
      <c r="F1005" s="12" t="s">
        <v>73</v>
      </c>
      <c r="G1005" s="15">
        <v>98</v>
      </c>
      <c r="H1005" s="12" t="s">
        <v>982</v>
      </c>
      <c r="I1005" s="12" t="s">
        <v>68</v>
      </c>
      <c r="K1005" s="16">
        <v>11.01</v>
      </c>
      <c r="L1005" s="16">
        <v>17.36</v>
      </c>
      <c r="M1005" s="16">
        <v>18.850000000000001</v>
      </c>
    </row>
    <row r="1006" spans="1:13" outlineLevel="3" x14ac:dyDescent="0.2">
      <c r="B1006" s="4" t="str">
        <f t="shared" si="33"/>
        <v>0009720100</v>
      </c>
      <c r="C1006" s="5" t="str">
        <f>"473235"</f>
        <v>473235</v>
      </c>
      <c r="D1006" s="12" t="s">
        <v>983</v>
      </c>
      <c r="E1006" s="14" t="s">
        <v>98</v>
      </c>
      <c r="F1006" s="12" t="s">
        <v>73</v>
      </c>
      <c r="G1006" s="15">
        <v>100</v>
      </c>
      <c r="H1006" s="12" t="s">
        <v>982</v>
      </c>
      <c r="I1006" s="12" t="s">
        <v>5</v>
      </c>
      <c r="K1006" s="16">
        <v>11.01</v>
      </c>
      <c r="L1006" s="16">
        <v>17.36</v>
      </c>
      <c r="M1006" s="16">
        <v>18.850000000000001</v>
      </c>
    </row>
    <row r="1007" spans="1:13" ht="33.75" outlineLevel="3" x14ac:dyDescent="0.2">
      <c r="B1007" s="4" t="str">
        <f t="shared" si="33"/>
        <v>0009720100</v>
      </c>
      <c r="C1007" s="5" t="str">
        <f>"372398"</f>
        <v>372398</v>
      </c>
      <c r="D1007" s="12" t="s">
        <v>981</v>
      </c>
      <c r="E1007" s="14" t="s">
        <v>98</v>
      </c>
      <c r="F1007" s="12" t="s">
        <v>3</v>
      </c>
      <c r="G1007" s="15">
        <v>98</v>
      </c>
      <c r="H1007" s="12" t="s">
        <v>982</v>
      </c>
      <c r="I1007" s="12" t="s">
        <v>60</v>
      </c>
      <c r="K1007" s="16">
        <v>11</v>
      </c>
      <c r="L1007" s="16">
        <v>17.350000000000001</v>
      </c>
      <c r="M1007" s="16">
        <v>18.850000000000001</v>
      </c>
    </row>
    <row r="1008" spans="1:13" outlineLevel="3" x14ac:dyDescent="0.2">
      <c r="B1008" s="4" t="str">
        <f t="shared" si="33"/>
        <v>0009720100</v>
      </c>
      <c r="C1008" s="5" t="str">
        <f>"428855"</f>
        <v>428855</v>
      </c>
      <c r="D1008" s="12" t="s">
        <v>985</v>
      </c>
      <c r="E1008" s="14" t="s">
        <v>98</v>
      </c>
      <c r="F1008" s="12" t="s">
        <v>73</v>
      </c>
      <c r="G1008" s="15">
        <v>100</v>
      </c>
      <c r="H1008" s="12" t="s">
        <v>982</v>
      </c>
      <c r="I1008" s="12" t="s">
        <v>70</v>
      </c>
      <c r="K1008" s="16">
        <v>11</v>
      </c>
      <c r="L1008" s="16">
        <v>17.350000000000001</v>
      </c>
      <c r="M1008" s="16">
        <v>18.850000000000001</v>
      </c>
    </row>
    <row r="1009" spans="2:13" outlineLevel="2" x14ac:dyDescent="0.2"/>
    <row r="1010" spans="2:13" ht="33.75" outlineLevel="3" x14ac:dyDescent="0.2">
      <c r="B1010" s="4" t="str">
        <f>"0010490030"</f>
        <v>0010490030</v>
      </c>
      <c r="C1010" s="5" t="str">
        <f>"410206"</f>
        <v>410206</v>
      </c>
      <c r="D1010" s="12" t="s">
        <v>981</v>
      </c>
      <c r="E1010" s="14" t="s">
        <v>14</v>
      </c>
      <c r="F1010" s="12" t="s">
        <v>3</v>
      </c>
      <c r="G1010" s="15">
        <v>28</v>
      </c>
      <c r="H1010" s="12" t="s">
        <v>982</v>
      </c>
      <c r="I1010" s="12" t="s">
        <v>60</v>
      </c>
      <c r="K1010" s="16">
        <v>5.17</v>
      </c>
      <c r="L1010" s="16">
        <v>8.25</v>
      </c>
      <c r="M1010" s="16">
        <v>9.75</v>
      </c>
    </row>
    <row r="1011" spans="2:13" outlineLevel="2" x14ac:dyDescent="0.2"/>
    <row r="1012" spans="2:13" ht="22.5" outlineLevel="3" x14ac:dyDescent="0.2">
      <c r="B1012" s="4" t="str">
        <f>"0010500030"</f>
        <v>0010500030</v>
      </c>
      <c r="C1012" s="5" t="str">
        <f>"505514"</f>
        <v>505514</v>
      </c>
      <c r="D1012" s="12" t="s">
        <v>986</v>
      </c>
      <c r="E1012" s="14" t="s">
        <v>116</v>
      </c>
      <c r="F1012" s="12" t="s">
        <v>73</v>
      </c>
      <c r="G1012" s="15">
        <v>28</v>
      </c>
      <c r="H1012" s="12" t="s">
        <v>982</v>
      </c>
      <c r="I1012" s="12" t="s">
        <v>68</v>
      </c>
      <c r="K1012" s="16">
        <v>8.14</v>
      </c>
      <c r="L1012" s="16">
        <v>12.98</v>
      </c>
      <c r="M1012" s="16">
        <v>11.55</v>
      </c>
    </row>
    <row r="1013" spans="2:13" outlineLevel="3" x14ac:dyDescent="0.2">
      <c r="B1013" s="4" t="str">
        <f>"0010500030"</f>
        <v>0010500030</v>
      </c>
      <c r="C1013" s="5" t="str">
        <f>"570150"</f>
        <v>570150</v>
      </c>
      <c r="D1013" s="12" t="s">
        <v>983</v>
      </c>
      <c r="E1013" s="14" t="s">
        <v>116</v>
      </c>
      <c r="F1013" s="12" t="s">
        <v>73</v>
      </c>
      <c r="G1013" s="15">
        <v>30</v>
      </c>
      <c r="H1013" s="12" t="s">
        <v>982</v>
      </c>
      <c r="I1013" s="12" t="s">
        <v>5</v>
      </c>
      <c r="K1013" s="16">
        <v>8.14</v>
      </c>
      <c r="L1013" s="16">
        <v>12.98</v>
      </c>
      <c r="M1013" s="16">
        <v>11.55</v>
      </c>
    </row>
    <row r="1014" spans="2:13" outlineLevel="3" x14ac:dyDescent="0.2">
      <c r="B1014" s="4" t="str">
        <f>"0010500030"</f>
        <v>0010500030</v>
      </c>
      <c r="C1014" s="5" t="str">
        <f>"593862"</f>
        <v>593862</v>
      </c>
      <c r="D1014" s="12" t="s">
        <v>985</v>
      </c>
      <c r="E1014" s="14" t="s">
        <v>116</v>
      </c>
      <c r="F1014" s="12" t="s">
        <v>73</v>
      </c>
      <c r="G1014" s="15">
        <v>30</v>
      </c>
      <c r="H1014" s="12" t="s">
        <v>982</v>
      </c>
      <c r="I1014" s="12" t="s">
        <v>70</v>
      </c>
      <c r="K1014" s="16">
        <v>8.1300000000000008</v>
      </c>
      <c r="L1014" s="16">
        <v>12.97</v>
      </c>
      <c r="M1014" s="16">
        <v>11.55</v>
      </c>
    </row>
    <row r="1015" spans="2:13" ht="33.75" outlineLevel="3" x14ac:dyDescent="0.2">
      <c r="B1015" s="4" t="str">
        <f>"0010500030"</f>
        <v>0010500030</v>
      </c>
      <c r="C1015" s="5" t="str">
        <f>"406431"</f>
        <v>406431</v>
      </c>
      <c r="D1015" s="12" t="s">
        <v>981</v>
      </c>
      <c r="E1015" s="14" t="s">
        <v>116</v>
      </c>
      <c r="F1015" s="12" t="s">
        <v>3</v>
      </c>
      <c r="G1015" s="15">
        <v>28</v>
      </c>
      <c r="H1015" s="12" t="s">
        <v>982</v>
      </c>
      <c r="I1015" s="12" t="s">
        <v>60</v>
      </c>
      <c r="K1015" s="16">
        <v>6.3</v>
      </c>
      <c r="L1015" s="16">
        <v>10.050000000000001</v>
      </c>
      <c r="M1015" s="16">
        <v>11.55</v>
      </c>
    </row>
    <row r="1016" spans="2:13" outlineLevel="2" x14ac:dyDescent="0.2"/>
    <row r="1017" spans="2:13" outlineLevel="3" x14ac:dyDescent="0.2">
      <c r="B1017" s="4" t="str">
        <f t="shared" ref="B1017:B1024" si="34">"0010500100"</f>
        <v>0010500100</v>
      </c>
      <c r="C1017" s="5" t="str">
        <f>"013681"</f>
        <v>013681</v>
      </c>
      <c r="D1017" s="12" t="s">
        <v>987</v>
      </c>
      <c r="E1017" s="14" t="s">
        <v>116</v>
      </c>
      <c r="F1017" s="12" t="s">
        <v>73</v>
      </c>
      <c r="G1017" s="15">
        <v>98</v>
      </c>
      <c r="H1017" s="12" t="s">
        <v>982</v>
      </c>
      <c r="I1017" s="12" t="s">
        <v>325</v>
      </c>
      <c r="K1017" s="16">
        <v>39.979999999999997</v>
      </c>
      <c r="L1017" s="16">
        <v>60.38</v>
      </c>
      <c r="M1017" s="16">
        <v>22.57</v>
      </c>
    </row>
    <row r="1018" spans="2:13" ht="22.5" outlineLevel="3" x14ac:dyDescent="0.2">
      <c r="B1018" s="4" t="str">
        <f t="shared" si="34"/>
        <v>0010500100</v>
      </c>
      <c r="C1018" s="5" t="str">
        <f>"138724"</f>
        <v>138724</v>
      </c>
      <c r="D1018" s="12" t="s">
        <v>988</v>
      </c>
      <c r="E1018" s="14" t="s">
        <v>116</v>
      </c>
      <c r="F1018" s="12" t="s">
        <v>73</v>
      </c>
      <c r="G1018" s="15">
        <v>98</v>
      </c>
      <c r="H1018" s="12" t="s">
        <v>982</v>
      </c>
      <c r="I1018" s="12" t="s">
        <v>509</v>
      </c>
      <c r="K1018" s="16">
        <v>15.01</v>
      </c>
      <c r="L1018" s="16">
        <v>23.3</v>
      </c>
      <c r="M1018" s="16">
        <v>22.57</v>
      </c>
    </row>
    <row r="1019" spans="2:13" ht="22.5" outlineLevel="3" x14ac:dyDescent="0.2">
      <c r="B1019" s="4" t="str">
        <f t="shared" si="34"/>
        <v>0010500100</v>
      </c>
      <c r="C1019" s="5" t="str">
        <f>"409474"</f>
        <v>409474</v>
      </c>
      <c r="D1019" s="12" t="s">
        <v>984</v>
      </c>
      <c r="E1019" s="14" t="s">
        <v>116</v>
      </c>
      <c r="F1019" s="12" t="s">
        <v>73</v>
      </c>
      <c r="G1019" s="15">
        <v>98</v>
      </c>
      <c r="H1019" s="12" t="s">
        <v>982</v>
      </c>
      <c r="I1019" s="12" t="s">
        <v>374</v>
      </c>
      <c r="K1019" s="16">
        <v>15.01</v>
      </c>
      <c r="L1019" s="16">
        <v>23.3</v>
      </c>
      <c r="M1019" s="16">
        <v>22.57</v>
      </c>
    </row>
    <row r="1020" spans="2:13" ht="22.5" outlineLevel="3" x14ac:dyDescent="0.2">
      <c r="B1020" s="4" t="str">
        <f t="shared" si="34"/>
        <v>0010500100</v>
      </c>
      <c r="C1020" s="5" t="str">
        <f>"490670"</f>
        <v>490670</v>
      </c>
      <c r="D1020" s="12" t="s">
        <v>988</v>
      </c>
      <c r="E1020" s="14" t="s">
        <v>116</v>
      </c>
      <c r="F1020" s="12" t="s">
        <v>73</v>
      </c>
      <c r="G1020" s="15">
        <v>100</v>
      </c>
      <c r="H1020" s="12" t="s">
        <v>982</v>
      </c>
      <c r="I1020" s="12" t="s">
        <v>509</v>
      </c>
      <c r="K1020" s="16">
        <v>15.01</v>
      </c>
      <c r="L1020" s="16">
        <v>23.3</v>
      </c>
      <c r="M1020" s="16">
        <v>22.57</v>
      </c>
    </row>
    <row r="1021" spans="2:13" outlineLevel="3" x14ac:dyDescent="0.2">
      <c r="B1021" s="4" t="str">
        <f t="shared" si="34"/>
        <v>0010500100</v>
      </c>
      <c r="C1021" s="5" t="str">
        <f>"527400"</f>
        <v>527400</v>
      </c>
      <c r="D1021" s="12" t="s">
        <v>983</v>
      </c>
      <c r="E1021" s="14" t="s">
        <v>116</v>
      </c>
      <c r="F1021" s="12" t="s">
        <v>73</v>
      </c>
      <c r="G1021" s="15">
        <v>100</v>
      </c>
      <c r="H1021" s="12" t="s">
        <v>982</v>
      </c>
      <c r="I1021" s="12" t="s">
        <v>5</v>
      </c>
      <c r="K1021" s="16">
        <v>15.01</v>
      </c>
      <c r="L1021" s="16">
        <v>23.3</v>
      </c>
      <c r="M1021" s="16">
        <v>22.57</v>
      </c>
    </row>
    <row r="1022" spans="2:13" ht="22.5" outlineLevel="3" x14ac:dyDescent="0.2">
      <c r="B1022" s="4" t="str">
        <f t="shared" si="34"/>
        <v>0010500100</v>
      </c>
      <c r="C1022" s="5" t="str">
        <f>"598629"</f>
        <v>598629</v>
      </c>
      <c r="D1022" s="12" t="s">
        <v>986</v>
      </c>
      <c r="E1022" s="14" t="s">
        <v>116</v>
      </c>
      <c r="F1022" s="12" t="s">
        <v>73</v>
      </c>
      <c r="G1022" s="15">
        <v>98</v>
      </c>
      <c r="H1022" s="12" t="s">
        <v>982</v>
      </c>
      <c r="I1022" s="12" t="s">
        <v>68</v>
      </c>
      <c r="K1022" s="16">
        <v>15.01</v>
      </c>
      <c r="L1022" s="16">
        <v>23.3</v>
      </c>
      <c r="M1022" s="16">
        <v>22.57</v>
      </c>
    </row>
    <row r="1023" spans="2:13" outlineLevel="3" x14ac:dyDescent="0.2">
      <c r="B1023" s="4" t="str">
        <f t="shared" si="34"/>
        <v>0010500100</v>
      </c>
      <c r="C1023" s="5" t="str">
        <f>"433845"</f>
        <v>433845</v>
      </c>
      <c r="D1023" s="12" t="s">
        <v>985</v>
      </c>
      <c r="E1023" s="14" t="s">
        <v>116</v>
      </c>
      <c r="F1023" s="12" t="s">
        <v>73</v>
      </c>
      <c r="G1023" s="15">
        <v>100</v>
      </c>
      <c r="H1023" s="12" t="s">
        <v>982</v>
      </c>
      <c r="I1023" s="12" t="s">
        <v>70</v>
      </c>
      <c r="K1023" s="16">
        <v>15</v>
      </c>
      <c r="L1023" s="16">
        <v>23.29</v>
      </c>
      <c r="M1023" s="16">
        <v>22.57</v>
      </c>
    </row>
    <row r="1024" spans="2:13" ht="33.75" outlineLevel="3" x14ac:dyDescent="0.2">
      <c r="B1024" s="4" t="str">
        <f t="shared" si="34"/>
        <v>0010500100</v>
      </c>
      <c r="C1024" s="5" t="str">
        <f>"406539"</f>
        <v>406539</v>
      </c>
      <c r="D1024" s="12" t="s">
        <v>981</v>
      </c>
      <c r="E1024" s="14" t="s">
        <v>116</v>
      </c>
      <c r="F1024" s="12" t="s">
        <v>3</v>
      </c>
      <c r="G1024" s="15">
        <v>98</v>
      </c>
      <c r="H1024" s="12" t="s">
        <v>982</v>
      </c>
      <c r="I1024" s="12" t="s">
        <v>60</v>
      </c>
      <c r="K1024" s="16">
        <v>13.5</v>
      </c>
      <c r="L1024" s="16">
        <v>21.07</v>
      </c>
      <c r="M1024" s="16">
        <v>22.57</v>
      </c>
    </row>
    <row r="1025" spans="1:13" outlineLevel="1" x14ac:dyDescent="0.2">
      <c r="A1025" s="3"/>
    </row>
    <row r="1026" spans="1:13" outlineLevel="2" x14ac:dyDescent="0.2">
      <c r="A1026" s="3" t="s">
        <v>1452</v>
      </c>
    </row>
    <row r="1027" spans="1:13" ht="33.75" outlineLevel="3" x14ac:dyDescent="0.2">
      <c r="B1027" s="4" t="str">
        <f>"0010650030"</f>
        <v>0010650030</v>
      </c>
      <c r="C1027" s="5" t="str">
        <f>"416222"</f>
        <v>416222</v>
      </c>
      <c r="D1027" s="12" t="s">
        <v>1065</v>
      </c>
      <c r="E1027" s="14" t="s">
        <v>1061</v>
      </c>
      <c r="F1027" s="12" t="s">
        <v>3</v>
      </c>
      <c r="G1027" s="15">
        <v>28</v>
      </c>
      <c r="H1027" s="12" t="s">
        <v>1062</v>
      </c>
      <c r="I1027" s="12" t="s">
        <v>170</v>
      </c>
      <c r="K1027" s="16">
        <v>10.53</v>
      </c>
      <c r="L1027" s="16">
        <v>16.649999999999999</v>
      </c>
      <c r="M1027" s="16">
        <v>17.52</v>
      </c>
    </row>
    <row r="1028" spans="1:13" ht="33.75" outlineLevel="3" x14ac:dyDescent="0.2">
      <c r="B1028" s="4" t="str">
        <f>"0010650030"</f>
        <v>0010650030</v>
      </c>
      <c r="C1028" s="5" t="str">
        <f>"076566"</f>
        <v>076566</v>
      </c>
      <c r="D1028" s="12" t="s">
        <v>1063</v>
      </c>
      <c r="E1028" s="14" t="s">
        <v>1061</v>
      </c>
      <c r="F1028" s="12" t="s">
        <v>3</v>
      </c>
      <c r="G1028" s="15">
        <v>28</v>
      </c>
      <c r="H1028" s="12" t="s">
        <v>1062</v>
      </c>
      <c r="I1028" s="12" t="s">
        <v>104</v>
      </c>
      <c r="K1028" s="16">
        <v>10.26</v>
      </c>
      <c r="L1028" s="16">
        <v>16.25</v>
      </c>
      <c r="M1028" s="16">
        <v>17.52</v>
      </c>
    </row>
    <row r="1029" spans="1:13" ht="33.75" outlineLevel="3" x14ac:dyDescent="0.2">
      <c r="B1029" s="4" t="str">
        <f>"0010650030"</f>
        <v>0010650030</v>
      </c>
      <c r="C1029" s="5" t="str">
        <f>"086414"</f>
        <v>086414</v>
      </c>
      <c r="D1029" s="12" t="s">
        <v>1064</v>
      </c>
      <c r="E1029" s="14" t="s">
        <v>1061</v>
      </c>
      <c r="F1029" s="12" t="s">
        <v>3</v>
      </c>
      <c r="G1029" s="15">
        <v>28</v>
      </c>
      <c r="H1029" s="12" t="s">
        <v>1062</v>
      </c>
      <c r="I1029" s="12" t="s">
        <v>30</v>
      </c>
      <c r="K1029" s="16">
        <v>10.26</v>
      </c>
      <c r="L1029" s="16">
        <v>16.25</v>
      </c>
      <c r="M1029" s="16">
        <v>17.52</v>
      </c>
    </row>
    <row r="1030" spans="1:13" ht="33.75" outlineLevel="3" x14ac:dyDescent="0.2">
      <c r="B1030" s="4" t="str">
        <f>"0010650030"</f>
        <v>0010650030</v>
      </c>
      <c r="C1030" s="5" t="str">
        <f>"563774"</f>
        <v>563774</v>
      </c>
      <c r="D1030" s="12" t="s">
        <v>1066</v>
      </c>
      <c r="E1030" s="14" t="s">
        <v>1061</v>
      </c>
      <c r="F1030" s="12" t="s">
        <v>3</v>
      </c>
      <c r="G1030" s="15">
        <v>30</v>
      </c>
      <c r="H1030" s="12" t="s">
        <v>1062</v>
      </c>
      <c r="I1030" s="12" t="s">
        <v>298</v>
      </c>
      <c r="K1030" s="16">
        <v>10.26</v>
      </c>
      <c r="L1030" s="16">
        <v>16.25</v>
      </c>
      <c r="M1030" s="16">
        <v>17.52</v>
      </c>
    </row>
    <row r="1031" spans="1:13" ht="33.75" outlineLevel="3" x14ac:dyDescent="0.2">
      <c r="B1031" s="4" t="str">
        <f>"0010650030"</f>
        <v>0010650030</v>
      </c>
      <c r="C1031" s="5" t="str">
        <f>"070867"</f>
        <v>070867</v>
      </c>
      <c r="D1031" s="12" t="s">
        <v>1060</v>
      </c>
      <c r="E1031" s="14" t="s">
        <v>1061</v>
      </c>
      <c r="F1031" s="12" t="s">
        <v>3</v>
      </c>
      <c r="G1031" s="15">
        <v>28</v>
      </c>
      <c r="H1031" s="12" t="s">
        <v>1062</v>
      </c>
      <c r="I1031" s="12" t="s">
        <v>60</v>
      </c>
      <c r="K1031" s="16">
        <v>10.1</v>
      </c>
      <c r="L1031" s="16">
        <v>16.02</v>
      </c>
      <c r="M1031" s="16">
        <v>17.52</v>
      </c>
    </row>
    <row r="1032" spans="1:13" outlineLevel="2" x14ac:dyDescent="0.2"/>
    <row r="1033" spans="1:13" ht="33.75" outlineLevel="3" x14ac:dyDescent="0.2">
      <c r="B1033" s="4" t="str">
        <f t="shared" ref="B1033:B1038" si="35">"0010650100"</f>
        <v>0010650100</v>
      </c>
      <c r="C1033" s="5" t="str">
        <f>"416446"</f>
        <v>416446</v>
      </c>
      <c r="D1033" s="12" t="s">
        <v>1065</v>
      </c>
      <c r="E1033" s="14" t="s">
        <v>1061</v>
      </c>
      <c r="F1033" s="12" t="s">
        <v>3</v>
      </c>
      <c r="G1033" s="15">
        <v>98</v>
      </c>
      <c r="H1033" s="12" t="s">
        <v>1062</v>
      </c>
      <c r="I1033" s="12" t="s">
        <v>170</v>
      </c>
      <c r="K1033" s="16">
        <v>36.119999999999997</v>
      </c>
      <c r="L1033" s="16">
        <v>54.65</v>
      </c>
      <c r="M1033" s="16">
        <v>20.260000000000002</v>
      </c>
    </row>
    <row r="1034" spans="1:13" ht="33.75" outlineLevel="3" x14ac:dyDescent="0.2">
      <c r="B1034" s="4" t="str">
        <f t="shared" si="35"/>
        <v>0010650100</v>
      </c>
      <c r="C1034" s="5" t="str">
        <f>"076577"</f>
        <v>076577</v>
      </c>
      <c r="D1034" s="12" t="s">
        <v>1063</v>
      </c>
      <c r="E1034" s="14" t="s">
        <v>1061</v>
      </c>
      <c r="F1034" s="12" t="s">
        <v>3</v>
      </c>
      <c r="G1034" s="15">
        <v>98</v>
      </c>
      <c r="H1034" s="12" t="s">
        <v>1062</v>
      </c>
      <c r="I1034" s="12" t="s">
        <v>104</v>
      </c>
      <c r="K1034" s="16">
        <v>13.06</v>
      </c>
      <c r="L1034" s="16">
        <v>20.41</v>
      </c>
      <c r="M1034" s="16">
        <v>20.260000000000002</v>
      </c>
    </row>
    <row r="1035" spans="1:13" ht="33.75" outlineLevel="3" x14ac:dyDescent="0.2">
      <c r="B1035" s="4" t="str">
        <f t="shared" si="35"/>
        <v>0010650100</v>
      </c>
      <c r="C1035" s="5" t="str">
        <f>"086426"</f>
        <v>086426</v>
      </c>
      <c r="D1035" s="12" t="s">
        <v>1064</v>
      </c>
      <c r="E1035" s="14" t="s">
        <v>1061</v>
      </c>
      <c r="F1035" s="12" t="s">
        <v>3</v>
      </c>
      <c r="G1035" s="15">
        <v>98</v>
      </c>
      <c r="H1035" s="12" t="s">
        <v>1062</v>
      </c>
      <c r="I1035" s="12" t="s">
        <v>30</v>
      </c>
      <c r="K1035" s="16">
        <v>13.06</v>
      </c>
      <c r="L1035" s="16">
        <v>20.41</v>
      </c>
      <c r="M1035" s="16">
        <v>20.260000000000002</v>
      </c>
    </row>
    <row r="1036" spans="1:13" ht="33.75" outlineLevel="3" x14ac:dyDescent="0.2">
      <c r="B1036" s="4" t="str">
        <f t="shared" si="35"/>
        <v>0010650100</v>
      </c>
      <c r="C1036" s="5" t="str">
        <f>"544487"</f>
        <v>544487</v>
      </c>
      <c r="D1036" s="12" t="s">
        <v>1066</v>
      </c>
      <c r="E1036" s="14" t="s">
        <v>1061</v>
      </c>
      <c r="F1036" s="12" t="s">
        <v>3</v>
      </c>
      <c r="G1036" s="15">
        <v>100</v>
      </c>
      <c r="H1036" s="12" t="s">
        <v>1062</v>
      </c>
      <c r="I1036" s="12" t="s">
        <v>298</v>
      </c>
      <c r="K1036" s="16">
        <v>13.06</v>
      </c>
      <c r="L1036" s="16">
        <v>20.41</v>
      </c>
      <c r="M1036" s="16">
        <v>20.260000000000002</v>
      </c>
    </row>
    <row r="1037" spans="1:13" ht="33.75" outlineLevel="3" x14ac:dyDescent="0.2">
      <c r="B1037" s="4" t="str">
        <f t="shared" si="35"/>
        <v>0010650100</v>
      </c>
      <c r="C1037" s="5" t="str">
        <f>"583043"</f>
        <v>583043</v>
      </c>
      <c r="D1037" s="12" t="s">
        <v>1066</v>
      </c>
      <c r="E1037" s="14" t="s">
        <v>1061</v>
      </c>
      <c r="F1037" s="12" t="s">
        <v>3</v>
      </c>
      <c r="G1037" s="15">
        <v>100</v>
      </c>
      <c r="H1037" s="12" t="s">
        <v>1062</v>
      </c>
      <c r="I1037" s="12" t="s">
        <v>298</v>
      </c>
      <c r="K1037" s="16">
        <v>13.06</v>
      </c>
      <c r="L1037" s="16">
        <v>20.41</v>
      </c>
      <c r="M1037" s="16">
        <v>20.260000000000002</v>
      </c>
    </row>
    <row r="1038" spans="1:13" ht="33.75" outlineLevel="3" x14ac:dyDescent="0.2">
      <c r="B1038" s="4" t="str">
        <f t="shared" si="35"/>
        <v>0010650100</v>
      </c>
      <c r="C1038" s="5" t="str">
        <f>"070879"</f>
        <v>070879</v>
      </c>
      <c r="D1038" s="12" t="s">
        <v>1060</v>
      </c>
      <c r="E1038" s="14" t="s">
        <v>1061</v>
      </c>
      <c r="F1038" s="12" t="s">
        <v>3</v>
      </c>
      <c r="G1038" s="15">
        <v>98</v>
      </c>
      <c r="H1038" s="12" t="s">
        <v>1062</v>
      </c>
      <c r="I1038" s="12" t="s">
        <v>60</v>
      </c>
      <c r="K1038" s="16">
        <v>11.95</v>
      </c>
      <c r="L1038" s="16">
        <v>18.760000000000002</v>
      </c>
      <c r="M1038" s="16">
        <v>20.260000000000002</v>
      </c>
    </row>
    <row r="1039" spans="1:13" outlineLevel="2" x14ac:dyDescent="0.2"/>
    <row r="1040" spans="1:13" ht="33.75" outlineLevel="3" x14ac:dyDescent="0.2">
      <c r="B1040" s="4" t="str">
        <f>"0010660030"</f>
        <v>0010660030</v>
      </c>
      <c r="C1040" s="5" t="str">
        <f>"003009"</f>
        <v>003009</v>
      </c>
      <c r="D1040" s="12" t="s">
        <v>1067</v>
      </c>
      <c r="E1040" s="14" t="s">
        <v>449</v>
      </c>
      <c r="F1040" s="12" t="s">
        <v>3</v>
      </c>
      <c r="G1040" s="15">
        <v>28</v>
      </c>
      <c r="H1040" s="12" t="s">
        <v>1062</v>
      </c>
      <c r="I1040" s="12" t="s">
        <v>170</v>
      </c>
      <c r="K1040" s="16">
        <v>12.76</v>
      </c>
      <c r="L1040" s="16">
        <v>19.97</v>
      </c>
      <c r="M1040" s="16">
        <v>20.71</v>
      </c>
    </row>
    <row r="1041" spans="2:13" ht="33.75" outlineLevel="3" x14ac:dyDescent="0.2">
      <c r="B1041" s="4" t="str">
        <f>"0010660030"</f>
        <v>0010660030</v>
      </c>
      <c r="C1041" s="5" t="str">
        <f>"086437"</f>
        <v>086437</v>
      </c>
      <c r="D1041" s="12" t="s">
        <v>1064</v>
      </c>
      <c r="E1041" s="14" t="s">
        <v>449</v>
      </c>
      <c r="F1041" s="12" t="s">
        <v>3</v>
      </c>
      <c r="G1041" s="15">
        <v>28</v>
      </c>
      <c r="H1041" s="12" t="s">
        <v>1062</v>
      </c>
      <c r="I1041" s="12" t="s">
        <v>30</v>
      </c>
      <c r="K1041" s="16">
        <v>12.32</v>
      </c>
      <c r="L1041" s="16">
        <v>19.309999999999999</v>
      </c>
      <c r="M1041" s="16">
        <v>20.71</v>
      </c>
    </row>
    <row r="1042" spans="2:13" ht="33.75" outlineLevel="3" x14ac:dyDescent="0.2">
      <c r="B1042" s="4" t="str">
        <f>"0010660030"</f>
        <v>0010660030</v>
      </c>
      <c r="C1042" s="5" t="str">
        <f>"076543"</f>
        <v>076543</v>
      </c>
      <c r="D1042" s="12" t="s">
        <v>1063</v>
      </c>
      <c r="E1042" s="14" t="s">
        <v>449</v>
      </c>
      <c r="F1042" s="12" t="s">
        <v>3</v>
      </c>
      <c r="G1042" s="15">
        <v>28</v>
      </c>
      <c r="H1042" s="12" t="s">
        <v>1062</v>
      </c>
      <c r="I1042" s="12" t="s">
        <v>104</v>
      </c>
      <c r="K1042" s="16">
        <v>12.31</v>
      </c>
      <c r="L1042" s="16">
        <v>19.29</v>
      </c>
      <c r="M1042" s="16">
        <v>20.71</v>
      </c>
    </row>
    <row r="1043" spans="2:13" ht="33.75" outlineLevel="3" x14ac:dyDescent="0.2">
      <c r="B1043" s="4" t="str">
        <f>"0010660030"</f>
        <v>0010660030</v>
      </c>
      <c r="C1043" s="5" t="str">
        <f>"135113"</f>
        <v>135113</v>
      </c>
      <c r="D1043" s="12" t="s">
        <v>1066</v>
      </c>
      <c r="E1043" s="14" t="s">
        <v>449</v>
      </c>
      <c r="F1043" s="12" t="s">
        <v>3</v>
      </c>
      <c r="G1043" s="15">
        <v>30</v>
      </c>
      <c r="H1043" s="12" t="s">
        <v>1062</v>
      </c>
      <c r="I1043" s="12" t="s">
        <v>298</v>
      </c>
      <c r="K1043" s="16">
        <v>12.31</v>
      </c>
      <c r="L1043" s="16">
        <v>19.29</v>
      </c>
      <c r="M1043" s="16">
        <v>20.71</v>
      </c>
    </row>
    <row r="1044" spans="2:13" ht="33.75" outlineLevel="3" x14ac:dyDescent="0.2">
      <c r="B1044" s="4" t="str">
        <f>"0010660030"</f>
        <v>0010660030</v>
      </c>
      <c r="C1044" s="5" t="str">
        <f>"070890"</f>
        <v>070890</v>
      </c>
      <c r="D1044" s="12" t="s">
        <v>1060</v>
      </c>
      <c r="E1044" s="14" t="s">
        <v>449</v>
      </c>
      <c r="F1044" s="12" t="s">
        <v>3</v>
      </c>
      <c r="G1044" s="15">
        <v>28</v>
      </c>
      <c r="H1044" s="12" t="s">
        <v>1062</v>
      </c>
      <c r="I1044" s="12" t="s">
        <v>60</v>
      </c>
      <c r="K1044" s="16">
        <v>12.25</v>
      </c>
      <c r="L1044" s="16">
        <v>19.21</v>
      </c>
      <c r="M1044" s="16">
        <v>20.71</v>
      </c>
    </row>
    <row r="1045" spans="2:13" outlineLevel="2" x14ac:dyDescent="0.2"/>
    <row r="1046" spans="2:13" ht="33.75" outlineLevel="3" x14ac:dyDescent="0.2">
      <c r="B1046" s="4" t="str">
        <f t="shared" ref="B1046:B1051" si="36">"0010660100"</f>
        <v>0010660100</v>
      </c>
      <c r="C1046" s="5" t="str">
        <f>"003023"</f>
        <v>003023</v>
      </c>
      <c r="D1046" s="12" t="s">
        <v>1067</v>
      </c>
      <c r="E1046" s="14" t="s">
        <v>449</v>
      </c>
      <c r="F1046" s="12" t="s">
        <v>3</v>
      </c>
      <c r="G1046" s="15">
        <v>98</v>
      </c>
      <c r="H1046" s="12" t="s">
        <v>1062</v>
      </c>
      <c r="I1046" s="12" t="s">
        <v>170</v>
      </c>
      <c r="K1046" s="16">
        <v>43.79</v>
      </c>
      <c r="L1046" s="16">
        <v>66.040000000000006</v>
      </c>
      <c r="M1046" s="16">
        <v>23.23</v>
      </c>
    </row>
    <row r="1047" spans="2:13" ht="33.75" outlineLevel="3" x14ac:dyDescent="0.2">
      <c r="B1047" s="4" t="str">
        <f t="shared" si="36"/>
        <v>0010660100</v>
      </c>
      <c r="C1047" s="5" t="str">
        <f>"076555"</f>
        <v>076555</v>
      </c>
      <c r="D1047" s="12" t="s">
        <v>1063</v>
      </c>
      <c r="E1047" s="14" t="s">
        <v>449</v>
      </c>
      <c r="F1047" s="12" t="s">
        <v>3</v>
      </c>
      <c r="G1047" s="15">
        <v>98</v>
      </c>
      <c r="H1047" s="12" t="s">
        <v>1062</v>
      </c>
      <c r="I1047" s="12" t="s">
        <v>104</v>
      </c>
      <c r="K1047" s="16">
        <v>15.06</v>
      </c>
      <c r="L1047" s="16">
        <v>23.38</v>
      </c>
      <c r="M1047" s="16">
        <v>23.23</v>
      </c>
    </row>
    <row r="1048" spans="2:13" ht="33.75" outlineLevel="3" x14ac:dyDescent="0.2">
      <c r="B1048" s="4" t="str">
        <f t="shared" si="36"/>
        <v>0010660100</v>
      </c>
      <c r="C1048" s="5" t="str">
        <f>"086448"</f>
        <v>086448</v>
      </c>
      <c r="D1048" s="12" t="s">
        <v>1064</v>
      </c>
      <c r="E1048" s="14" t="s">
        <v>449</v>
      </c>
      <c r="F1048" s="12" t="s">
        <v>3</v>
      </c>
      <c r="G1048" s="15">
        <v>98</v>
      </c>
      <c r="H1048" s="12" t="s">
        <v>1062</v>
      </c>
      <c r="I1048" s="12" t="s">
        <v>30</v>
      </c>
      <c r="K1048" s="16">
        <v>15.06</v>
      </c>
      <c r="L1048" s="16">
        <v>23.38</v>
      </c>
      <c r="M1048" s="16">
        <v>23.23</v>
      </c>
    </row>
    <row r="1049" spans="2:13" ht="33.75" outlineLevel="3" x14ac:dyDescent="0.2">
      <c r="B1049" s="4" t="str">
        <f t="shared" si="36"/>
        <v>0010660100</v>
      </c>
      <c r="C1049" s="5" t="str">
        <f>"112274"</f>
        <v>112274</v>
      </c>
      <c r="D1049" s="12" t="s">
        <v>1066</v>
      </c>
      <c r="E1049" s="14" t="s">
        <v>449</v>
      </c>
      <c r="F1049" s="12" t="s">
        <v>3</v>
      </c>
      <c r="G1049" s="15">
        <v>100</v>
      </c>
      <c r="H1049" s="12" t="s">
        <v>1062</v>
      </c>
      <c r="I1049" s="12" t="s">
        <v>298</v>
      </c>
      <c r="K1049" s="16">
        <v>15.06</v>
      </c>
      <c r="L1049" s="16">
        <v>23.38</v>
      </c>
      <c r="M1049" s="16">
        <v>23.23</v>
      </c>
    </row>
    <row r="1050" spans="2:13" ht="33.75" outlineLevel="3" x14ac:dyDescent="0.2">
      <c r="B1050" s="4" t="str">
        <f t="shared" si="36"/>
        <v>0010660100</v>
      </c>
      <c r="C1050" s="5" t="str">
        <f>"117760"</f>
        <v>117760</v>
      </c>
      <c r="D1050" s="12" t="s">
        <v>1066</v>
      </c>
      <c r="E1050" s="14" t="s">
        <v>449</v>
      </c>
      <c r="F1050" s="12" t="s">
        <v>3</v>
      </c>
      <c r="G1050" s="15">
        <v>100</v>
      </c>
      <c r="H1050" s="12" t="s">
        <v>1062</v>
      </c>
      <c r="I1050" s="12" t="s">
        <v>298</v>
      </c>
      <c r="K1050" s="16">
        <v>15.06</v>
      </c>
      <c r="L1050" s="16">
        <v>23.38</v>
      </c>
      <c r="M1050" s="16">
        <v>23.23</v>
      </c>
    </row>
    <row r="1051" spans="2:13" ht="33.75" outlineLevel="3" x14ac:dyDescent="0.2">
      <c r="B1051" s="4" t="str">
        <f t="shared" si="36"/>
        <v>0010660100</v>
      </c>
      <c r="C1051" s="5" t="str">
        <f>"070901"</f>
        <v>070901</v>
      </c>
      <c r="D1051" s="12" t="s">
        <v>1060</v>
      </c>
      <c r="E1051" s="14" t="s">
        <v>449</v>
      </c>
      <c r="F1051" s="12" t="s">
        <v>3</v>
      </c>
      <c r="G1051" s="15">
        <v>98</v>
      </c>
      <c r="H1051" s="12" t="s">
        <v>1062</v>
      </c>
      <c r="I1051" s="12" t="s">
        <v>60</v>
      </c>
      <c r="K1051" s="16">
        <v>13.95</v>
      </c>
      <c r="L1051" s="16">
        <v>21.73</v>
      </c>
      <c r="M1051" s="16">
        <v>23.23</v>
      </c>
    </row>
    <row r="1052" spans="2:13" outlineLevel="2" x14ac:dyDescent="0.2"/>
    <row r="1053" spans="2:13" ht="33.75" outlineLevel="3" x14ac:dyDescent="0.2">
      <c r="B1053" s="4" t="str">
        <f>"0011500030"</f>
        <v>0011500030</v>
      </c>
      <c r="C1053" s="5" t="str">
        <f>"048288"</f>
        <v>048288</v>
      </c>
      <c r="D1053" s="12" t="s">
        <v>1065</v>
      </c>
      <c r="E1053" s="14" t="s">
        <v>1145</v>
      </c>
      <c r="F1053" s="12" t="s">
        <v>3</v>
      </c>
      <c r="G1053" s="15">
        <v>28</v>
      </c>
      <c r="H1053" s="12" t="s">
        <v>1062</v>
      </c>
      <c r="I1053" s="12" t="s">
        <v>170</v>
      </c>
      <c r="K1053" s="16">
        <v>10.91</v>
      </c>
      <c r="L1053" s="16">
        <v>17.22</v>
      </c>
      <c r="M1053" s="16">
        <v>16.63</v>
      </c>
    </row>
    <row r="1054" spans="2:13" ht="33.75" outlineLevel="3" x14ac:dyDescent="0.2">
      <c r="B1054" s="4" t="str">
        <f>"0011500030"</f>
        <v>0011500030</v>
      </c>
      <c r="C1054" s="5" t="str">
        <f>"084164"</f>
        <v>084164</v>
      </c>
      <c r="D1054" s="12" t="s">
        <v>1060</v>
      </c>
      <c r="E1054" s="14" t="s">
        <v>1145</v>
      </c>
      <c r="F1054" s="12" t="s">
        <v>3</v>
      </c>
      <c r="G1054" s="15">
        <v>30</v>
      </c>
      <c r="H1054" s="12" t="s">
        <v>1062</v>
      </c>
      <c r="I1054" s="12" t="s">
        <v>60</v>
      </c>
      <c r="K1054" s="16">
        <v>10.65</v>
      </c>
      <c r="L1054" s="16">
        <v>16.829999999999998</v>
      </c>
      <c r="M1054" s="16">
        <v>16.63</v>
      </c>
    </row>
    <row r="1055" spans="2:13" ht="33.75" outlineLevel="3" x14ac:dyDescent="0.2">
      <c r="B1055" s="4" t="str">
        <f>"0011500030"</f>
        <v>0011500030</v>
      </c>
      <c r="C1055" s="5" t="str">
        <f>"030977"</f>
        <v>030977</v>
      </c>
      <c r="D1055" s="12" t="s">
        <v>1144</v>
      </c>
      <c r="E1055" s="14" t="s">
        <v>1145</v>
      </c>
      <c r="F1055" s="12" t="s">
        <v>3</v>
      </c>
      <c r="G1055" s="15">
        <v>28</v>
      </c>
      <c r="H1055" s="12" t="s">
        <v>1062</v>
      </c>
      <c r="I1055" s="12" t="s">
        <v>70</v>
      </c>
      <c r="K1055" s="16">
        <v>10.61</v>
      </c>
      <c r="L1055" s="16">
        <v>16.760000000000002</v>
      </c>
      <c r="M1055" s="16">
        <v>16.63</v>
      </c>
    </row>
    <row r="1056" spans="2:13" ht="33.75" outlineLevel="3" x14ac:dyDescent="0.2">
      <c r="B1056" s="4" t="str">
        <f>"0011500030"</f>
        <v>0011500030</v>
      </c>
      <c r="C1056" s="5" t="str">
        <f>"444622"</f>
        <v>444622</v>
      </c>
      <c r="D1056" s="12" t="s">
        <v>1066</v>
      </c>
      <c r="E1056" s="14" t="s">
        <v>1145</v>
      </c>
      <c r="F1056" s="12" t="s">
        <v>3</v>
      </c>
      <c r="G1056" s="15">
        <v>30</v>
      </c>
      <c r="H1056" s="12" t="s">
        <v>1062</v>
      </c>
      <c r="I1056" s="12" t="s">
        <v>298</v>
      </c>
      <c r="K1056" s="16">
        <v>10.61</v>
      </c>
      <c r="L1056" s="16">
        <v>16.760000000000002</v>
      </c>
      <c r="M1056" s="16">
        <v>16.63</v>
      </c>
    </row>
    <row r="1057" spans="1:13" ht="33.75" outlineLevel="3" x14ac:dyDescent="0.2">
      <c r="B1057" s="4" t="str">
        <f>"0011500030"</f>
        <v>0011500030</v>
      </c>
      <c r="C1057" s="5" t="str">
        <f>"082580"</f>
        <v>082580</v>
      </c>
      <c r="D1057" s="12" t="s">
        <v>1060</v>
      </c>
      <c r="E1057" s="14" t="s">
        <v>1145</v>
      </c>
      <c r="F1057" s="12" t="s">
        <v>3</v>
      </c>
      <c r="G1057" s="15">
        <v>28</v>
      </c>
      <c r="H1057" s="12" t="s">
        <v>1062</v>
      </c>
      <c r="I1057" s="12" t="s">
        <v>60</v>
      </c>
      <c r="K1057" s="16">
        <v>9.5</v>
      </c>
      <c r="L1057" s="16">
        <v>15.13</v>
      </c>
      <c r="M1057" s="16">
        <v>16.63</v>
      </c>
    </row>
    <row r="1058" spans="1:13" outlineLevel="2" x14ac:dyDescent="0.2"/>
    <row r="1059" spans="1:13" ht="33.75" outlineLevel="3" x14ac:dyDescent="0.2">
      <c r="B1059" s="4" t="str">
        <f>"0011500100"</f>
        <v>0011500100</v>
      </c>
      <c r="C1059" s="5" t="str">
        <f>"048297"</f>
        <v>048297</v>
      </c>
      <c r="D1059" s="12" t="s">
        <v>1065</v>
      </c>
      <c r="E1059" s="14" t="s">
        <v>1145</v>
      </c>
      <c r="F1059" s="12" t="s">
        <v>3</v>
      </c>
      <c r="G1059" s="15">
        <v>98</v>
      </c>
      <c r="H1059" s="12" t="s">
        <v>1062</v>
      </c>
      <c r="I1059" s="12" t="s">
        <v>170</v>
      </c>
      <c r="K1059" s="16">
        <v>32.92</v>
      </c>
      <c r="L1059" s="16">
        <v>49.9</v>
      </c>
      <c r="M1059" s="16">
        <v>35.18</v>
      </c>
    </row>
    <row r="1060" spans="1:13" ht="33.75" outlineLevel="3" x14ac:dyDescent="0.2">
      <c r="B1060" s="4" t="str">
        <f>"0011500100"</f>
        <v>0011500100</v>
      </c>
      <c r="C1060" s="5" t="str">
        <f>"027221"</f>
        <v>027221</v>
      </c>
      <c r="D1060" s="12" t="s">
        <v>1144</v>
      </c>
      <c r="E1060" s="14" t="s">
        <v>1145</v>
      </c>
      <c r="F1060" s="12" t="s">
        <v>3</v>
      </c>
      <c r="G1060" s="15">
        <v>100</v>
      </c>
      <c r="H1060" s="12" t="s">
        <v>1062</v>
      </c>
      <c r="I1060" s="12" t="s">
        <v>70</v>
      </c>
      <c r="K1060" s="16">
        <v>24.16</v>
      </c>
      <c r="L1060" s="16">
        <v>36.89</v>
      </c>
      <c r="M1060" s="16">
        <v>35.18</v>
      </c>
    </row>
    <row r="1061" spans="1:13" ht="33.75" outlineLevel="3" x14ac:dyDescent="0.2">
      <c r="B1061" s="4" t="str">
        <f>"0011500100"</f>
        <v>0011500100</v>
      </c>
      <c r="C1061" s="5" t="str">
        <f>"473135"</f>
        <v>473135</v>
      </c>
      <c r="D1061" s="12" t="s">
        <v>1066</v>
      </c>
      <c r="E1061" s="14" t="s">
        <v>1145</v>
      </c>
      <c r="F1061" s="12" t="s">
        <v>3</v>
      </c>
      <c r="G1061" s="15">
        <v>100</v>
      </c>
      <c r="H1061" s="12" t="s">
        <v>1062</v>
      </c>
      <c r="I1061" s="12" t="s">
        <v>298</v>
      </c>
      <c r="K1061" s="16">
        <v>24.16</v>
      </c>
      <c r="L1061" s="16">
        <v>36.89</v>
      </c>
      <c r="M1061" s="16">
        <v>35.18</v>
      </c>
    </row>
    <row r="1062" spans="1:13" ht="33.75" outlineLevel="3" x14ac:dyDescent="0.2">
      <c r="B1062" s="4" t="str">
        <f>"0011500100"</f>
        <v>0011500100</v>
      </c>
      <c r="C1062" s="5" t="str">
        <f>"082591"</f>
        <v>082591</v>
      </c>
      <c r="D1062" s="12" t="s">
        <v>1060</v>
      </c>
      <c r="E1062" s="14" t="s">
        <v>1145</v>
      </c>
      <c r="F1062" s="12" t="s">
        <v>3</v>
      </c>
      <c r="G1062" s="15">
        <v>98</v>
      </c>
      <c r="H1062" s="12" t="s">
        <v>1062</v>
      </c>
      <c r="I1062" s="12" t="s">
        <v>60</v>
      </c>
      <c r="K1062" s="16">
        <v>22</v>
      </c>
      <c r="L1062" s="16">
        <v>33.68</v>
      </c>
      <c r="M1062" s="16">
        <v>35.18</v>
      </c>
    </row>
    <row r="1063" spans="1:13" ht="33.75" outlineLevel="3" x14ac:dyDescent="0.2">
      <c r="B1063" s="4" t="str">
        <f>"0011500100"</f>
        <v>0011500100</v>
      </c>
      <c r="C1063" s="5" t="str">
        <f>"084175"</f>
        <v>084175</v>
      </c>
      <c r="D1063" s="12" t="s">
        <v>1060</v>
      </c>
      <c r="E1063" s="14" t="s">
        <v>1145</v>
      </c>
      <c r="F1063" s="12" t="s">
        <v>3</v>
      </c>
      <c r="G1063" s="15">
        <v>100</v>
      </c>
      <c r="H1063" s="12" t="s">
        <v>1062</v>
      </c>
      <c r="I1063" s="12" t="s">
        <v>60</v>
      </c>
      <c r="K1063" s="16">
        <v>22</v>
      </c>
      <c r="L1063" s="16">
        <v>33.68</v>
      </c>
      <c r="M1063" s="16">
        <v>35.18</v>
      </c>
    </row>
    <row r="1064" spans="1:13" outlineLevel="1" x14ac:dyDescent="0.2">
      <c r="A1064" s="3"/>
    </row>
    <row r="1065" spans="1:13" outlineLevel="2" x14ac:dyDescent="0.2">
      <c r="A1065" s="3" t="s">
        <v>1453</v>
      </c>
    </row>
    <row r="1066" spans="1:13" ht="33.75" outlineLevel="3" x14ac:dyDescent="0.2">
      <c r="B1066" s="4" t="str">
        <f>"0009190030"</f>
        <v>0009190030</v>
      </c>
      <c r="C1066" s="5" t="str">
        <f>"022532"</f>
        <v>022532</v>
      </c>
      <c r="D1066" s="12" t="s">
        <v>949</v>
      </c>
      <c r="E1066" s="14" t="s">
        <v>950</v>
      </c>
      <c r="F1066" s="12" t="s">
        <v>3</v>
      </c>
      <c r="G1066" s="15">
        <v>28</v>
      </c>
      <c r="H1066" s="12" t="s">
        <v>951</v>
      </c>
      <c r="I1066" s="12" t="s">
        <v>109</v>
      </c>
      <c r="K1066" s="16">
        <v>12.63</v>
      </c>
      <c r="L1066" s="16">
        <v>19.77</v>
      </c>
      <c r="M1066" s="16">
        <v>21.27</v>
      </c>
    </row>
    <row r="1067" spans="1:13" ht="33.75" outlineLevel="3" x14ac:dyDescent="0.2">
      <c r="B1067" s="4" t="str">
        <f>"0009190030"</f>
        <v>0009190030</v>
      </c>
      <c r="C1067" s="5" t="str">
        <f>"055119"</f>
        <v>055119</v>
      </c>
      <c r="D1067" s="12" t="s">
        <v>952</v>
      </c>
      <c r="E1067" s="14" t="s">
        <v>950</v>
      </c>
      <c r="F1067" s="12" t="s">
        <v>3</v>
      </c>
      <c r="G1067" s="15">
        <v>28</v>
      </c>
      <c r="H1067" s="12" t="s">
        <v>951</v>
      </c>
      <c r="I1067" s="12" t="s">
        <v>68</v>
      </c>
      <c r="K1067" s="16">
        <v>12.63</v>
      </c>
      <c r="L1067" s="16">
        <v>19.77</v>
      </c>
      <c r="M1067" s="16">
        <v>21.27</v>
      </c>
    </row>
    <row r="1068" spans="1:13" ht="33.75" outlineLevel="3" x14ac:dyDescent="0.2">
      <c r="B1068" s="4" t="str">
        <f>"0009190030"</f>
        <v>0009190030</v>
      </c>
      <c r="C1068" s="5" t="str">
        <f>"176089"</f>
        <v>176089</v>
      </c>
      <c r="D1068" s="12" t="s">
        <v>953</v>
      </c>
      <c r="E1068" s="14" t="s">
        <v>950</v>
      </c>
      <c r="F1068" s="12" t="s">
        <v>3</v>
      </c>
      <c r="G1068" s="15">
        <v>28</v>
      </c>
      <c r="H1068" s="12" t="s">
        <v>951</v>
      </c>
      <c r="I1068" s="12" t="s">
        <v>70</v>
      </c>
      <c r="K1068" s="16">
        <v>12.63</v>
      </c>
      <c r="L1068" s="16">
        <v>19.77</v>
      </c>
      <c r="M1068" s="16">
        <v>21.27</v>
      </c>
    </row>
    <row r="1069" spans="1:13" outlineLevel="2" x14ac:dyDescent="0.2"/>
    <row r="1070" spans="1:13" ht="33.75" outlineLevel="3" x14ac:dyDescent="0.2">
      <c r="B1070" s="4" t="str">
        <f t="shared" ref="B1070:B1076" si="37">"0009190100"</f>
        <v>0009190100</v>
      </c>
      <c r="C1070" s="5" t="str">
        <f>"401534"</f>
        <v>401534</v>
      </c>
      <c r="D1070" s="12" t="s">
        <v>954</v>
      </c>
      <c r="E1070" s="14" t="s">
        <v>950</v>
      </c>
      <c r="F1070" s="12" t="s">
        <v>3</v>
      </c>
      <c r="G1070" s="15">
        <v>98</v>
      </c>
      <c r="H1070" s="12" t="s">
        <v>951</v>
      </c>
      <c r="I1070" s="12" t="s">
        <v>28</v>
      </c>
      <c r="J1070" s="2" t="s">
        <v>1400</v>
      </c>
      <c r="K1070" s="16" t="s">
        <v>1401</v>
      </c>
      <c r="L1070" s="16" t="s">
        <v>1401</v>
      </c>
      <c r="M1070" s="16">
        <v>30.51</v>
      </c>
    </row>
    <row r="1071" spans="1:13" ht="33.75" outlineLevel="3" x14ac:dyDescent="0.2">
      <c r="B1071" s="4" t="str">
        <f t="shared" si="37"/>
        <v>0009190100</v>
      </c>
      <c r="C1071" s="5" t="str">
        <f>"022708"</f>
        <v>022708</v>
      </c>
      <c r="D1071" s="12" t="s">
        <v>949</v>
      </c>
      <c r="E1071" s="14" t="s">
        <v>950</v>
      </c>
      <c r="F1071" s="12" t="s">
        <v>3</v>
      </c>
      <c r="G1071" s="15">
        <v>98</v>
      </c>
      <c r="H1071" s="12" t="s">
        <v>951</v>
      </c>
      <c r="I1071" s="12" t="s">
        <v>109</v>
      </c>
      <c r="K1071" s="16">
        <v>20.87</v>
      </c>
      <c r="L1071" s="16">
        <v>32</v>
      </c>
      <c r="M1071" s="16">
        <v>30.51</v>
      </c>
    </row>
    <row r="1072" spans="1:13" ht="33.75" outlineLevel="3" x14ac:dyDescent="0.2">
      <c r="B1072" s="4" t="str">
        <f t="shared" si="37"/>
        <v>0009190100</v>
      </c>
      <c r="C1072" s="5" t="str">
        <f>"055130"</f>
        <v>055130</v>
      </c>
      <c r="D1072" s="12" t="s">
        <v>952</v>
      </c>
      <c r="E1072" s="14" t="s">
        <v>950</v>
      </c>
      <c r="F1072" s="12" t="s">
        <v>3</v>
      </c>
      <c r="G1072" s="15">
        <v>98</v>
      </c>
      <c r="H1072" s="12" t="s">
        <v>951</v>
      </c>
      <c r="I1072" s="12" t="s">
        <v>68</v>
      </c>
      <c r="K1072" s="16">
        <v>20.87</v>
      </c>
      <c r="L1072" s="16">
        <v>32</v>
      </c>
      <c r="M1072" s="16">
        <v>30.51</v>
      </c>
    </row>
    <row r="1073" spans="2:13" ht="33.75" outlineLevel="3" x14ac:dyDescent="0.2">
      <c r="B1073" s="4" t="str">
        <f t="shared" si="37"/>
        <v>0009190100</v>
      </c>
      <c r="C1073" s="5" t="str">
        <f>"159295"</f>
        <v>159295</v>
      </c>
      <c r="D1073" s="12" t="s">
        <v>955</v>
      </c>
      <c r="E1073" s="14" t="s">
        <v>950</v>
      </c>
      <c r="F1073" s="12" t="s">
        <v>3</v>
      </c>
      <c r="G1073" s="15">
        <v>98</v>
      </c>
      <c r="H1073" s="12" t="s">
        <v>951</v>
      </c>
      <c r="I1073" s="12" t="s">
        <v>5</v>
      </c>
      <c r="K1073" s="16">
        <v>20.87</v>
      </c>
      <c r="L1073" s="16">
        <v>32</v>
      </c>
      <c r="M1073" s="16">
        <v>30.51</v>
      </c>
    </row>
    <row r="1074" spans="2:13" ht="33.75" outlineLevel="3" x14ac:dyDescent="0.2">
      <c r="B1074" s="4" t="str">
        <f t="shared" si="37"/>
        <v>0009190100</v>
      </c>
      <c r="C1074" s="5" t="str">
        <f>"412662"</f>
        <v>412662</v>
      </c>
      <c r="D1074" s="12" t="s">
        <v>956</v>
      </c>
      <c r="E1074" s="14" t="s">
        <v>950</v>
      </c>
      <c r="F1074" s="12" t="s">
        <v>3</v>
      </c>
      <c r="G1074" s="15">
        <v>98</v>
      </c>
      <c r="H1074" s="12" t="s">
        <v>951</v>
      </c>
      <c r="I1074" s="12" t="s">
        <v>30</v>
      </c>
      <c r="K1074" s="16">
        <v>20.87</v>
      </c>
      <c r="L1074" s="16">
        <v>32</v>
      </c>
      <c r="M1074" s="16">
        <v>30.51</v>
      </c>
    </row>
    <row r="1075" spans="2:13" ht="33.75" outlineLevel="3" x14ac:dyDescent="0.2">
      <c r="B1075" s="4" t="str">
        <f t="shared" si="37"/>
        <v>0009190100</v>
      </c>
      <c r="C1075" s="5" t="str">
        <f>"593215"</f>
        <v>593215</v>
      </c>
      <c r="D1075" s="12" t="s">
        <v>953</v>
      </c>
      <c r="E1075" s="14" t="s">
        <v>950</v>
      </c>
      <c r="F1075" s="12" t="s">
        <v>3</v>
      </c>
      <c r="G1075" s="15">
        <v>98</v>
      </c>
      <c r="H1075" s="12" t="s">
        <v>951</v>
      </c>
      <c r="I1075" s="12" t="s">
        <v>70</v>
      </c>
      <c r="K1075" s="16">
        <v>20.86</v>
      </c>
      <c r="L1075" s="16">
        <v>31.99</v>
      </c>
      <c r="M1075" s="16">
        <v>30.51</v>
      </c>
    </row>
    <row r="1076" spans="2:13" ht="33.75" outlineLevel="3" x14ac:dyDescent="0.2">
      <c r="B1076" s="4" t="str">
        <f t="shared" si="37"/>
        <v>0009190100</v>
      </c>
      <c r="C1076" s="5" t="str">
        <f>"579156"</f>
        <v>579156</v>
      </c>
      <c r="D1076" s="12" t="s">
        <v>957</v>
      </c>
      <c r="E1076" s="14" t="s">
        <v>950</v>
      </c>
      <c r="F1076" s="12" t="s">
        <v>3</v>
      </c>
      <c r="G1076" s="15">
        <v>98</v>
      </c>
      <c r="H1076" s="12" t="s">
        <v>951</v>
      </c>
      <c r="I1076" s="12" t="s">
        <v>60</v>
      </c>
      <c r="K1076" s="16">
        <v>18.850000000000001</v>
      </c>
      <c r="L1076" s="16">
        <v>29.01</v>
      </c>
      <c r="M1076" s="16">
        <v>30.51</v>
      </c>
    </row>
    <row r="1077" spans="2:13" outlineLevel="2" x14ac:dyDescent="0.2"/>
    <row r="1078" spans="2:13" ht="33.75" outlineLevel="3" x14ac:dyDescent="0.2">
      <c r="B1078" s="4" t="str">
        <f>"0010710030"</f>
        <v>0010710030</v>
      </c>
      <c r="C1078" s="5" t="str">
        <f>"436022"</f>
        <v>436022</v>
      </c>
      <c r="D1078" s="12" t="s">
        <v>949</v>
      </c>
      <c r="E1078" s="14" t="s">
        <v>926</v>
      </c>
      <c r="F1078" s="12" t="s">
        <v>3</v>
      </c>
      <c r="G1078" s="15">
        <v>28</v>
      </c>
      <c r="H1078" s="12" t="s">
        <v>951</v>
      </c>
      <c r="I1078" s="12" t="s">
        <v>109</v>
      </c>
      <c r="K1078" s="16">
        <v>8.94</v>
      </c>
      <c r="L1078" s="16">
        <v>14.26</v>
      </c>
      <c r="M1078" s="16">
        <v>14.11</v>
      </c>
    </row>
    <row r="1079" spans="2:13" ht="33.75" outlineLevel="3" x14ac:dyDescent="0.2">
      <c r="B1079" s="4" t="str">
        <f>"0010710030"</f>
        <v>0010710030</v>
      </c>
      <c r="C1079" s="5" t="str">
        <f>"391949"</f>
        <v>391949</v>
      </c>
      <c r="D1079" s="12" t="s">
        <v>957</v>
      </c>
      <c r="E1079" s="14" t="s">
        <v>926</v>
      </c>
      <c r="F1079" s="12" t="s">
        <v>3</v>
      </c>
      <c r="G1079" s="15">
        <v>28</v>
      </c>
      <c r="H1079" s="12" t="s">
        <v>951</v>
      </c>
      <c r="I1079" s="12" t="s">
        <v>60</v>
      </c>
      <c r="K1079" s="16">
        <v>7.9</v>
      </c>
      <c r="L1079" s="16">
        <v>12.61</v>
      </c>
      <c r="M1079" s="16">
        <v>14.11</v>
      </c>
    </row>
    <row r="1080" spans="2:13" outlineLevel="2" x14ac:dyDescent="0.2"/>
    <row r="1081" spans="2:13" ht="33.75" outlineLevel="3" x14ac:dyDescent="0.2">
      <c r="B1081" s="4" t="str">
        <f t="shared" ref="B1081:B1087" si="38">"0010710100"</f>
        <v>0010710100</v>
      </c>
      <c r="C1081" s="5" t="str">
        <f>"426884"</f>
        <v>426884</v>
      </c>
      <c r="D1081" s="12" t="s">
        <v>954</v>
      </c>
      <c r="E1081" s="14" t="s">
        <v>926</v>
      </c>
      <c r="F1081" s="12" t="s">
        <v>3</v>
      </c>
      <c r="G1081" s="15">
        <v>98</v>
      </c>
      <c r="H1081" s="12" t="s">
        <v>951</v>
      </c>
      <c r="I1081" s="12" t="s">
        <v>28</v>
      </c>
      <c r="J1081" s="2" t="s">
        <v>1400</v>
      </c>
      <c r="K1081" s="16" t="s">
        <v>1401</v>
      </c>
      <c r="L1081" s="16" t="s">
        <v>1401</v>
      </c>
      <c r="M1081" s="16">
        <v>28.95</v>
      </c>
    </row>
    <row r="1082" spans="2:13" ht="33.75" outlineLevel="3" x14ac:dyDescent="0.2">
      <c r="B1082" s="4" t="str">
        <f t="shared" si="38"/>
        <v>0010710100</v>
      </c>
      <c r="C1082" s="5" t="str">
        <f>"055108"</f>
        <v>055108</v>
      </c>
      <c r="D1082" s="12" t="s">
        <v>952</v>
      </c>
      <c r="E1082" s="14" t="s">
        <v>926</v>
      </c>
      <c r="F1082" s="12" t="s">
        <v>3</v>
      </c>
      <c r="G1082" s="15">
        <v>98</v>
      </c>
      <c r="H1082" s="12" t="s">
        <v>951</v>
      </c>
      <c r="I1082" s="12" t="s">
        <v>68</v>
      </c>
      <c r="K1082" s="16">
        <v>19.010000000000002</v>
      </c>
      <c r="L1082" s="16">
        <v>29.24</v>
      </c>
      <c r="M1082" s="16">
        <v>28.95</v>
      </c>
    </row>
    <row r="1083" spans="2:13" ht="33.75" outlineLevel="3" x14ac:dyDescent="0.2">
      <c r="B1083" s="4" t="str">
        <f t="shared" si="38"/>
        <v>0010710100</v>
      </c>
      <c r="C1083" s="5" t="str">
        <f>"375153"</f>
        <v>375153</v>
      </c>
      <c r="D1083" s="12" t="s">
        <v>956</v>
      </c>
      <c r="E1083" s="14" t="s">
        <v>926</v>
      </c>
      <c r="F1083" s="12" t="s">
        <v>3</v>
      </c>
      <c r="G1083" s="15">
        <v>98</v>
      </c>
      <c r="H1083" s="12" t="s">
        <v>951</v>
      </c>
      <c r="I1083" s="12" t="s">
        <v>30</v>
      </c>
      <c r="K1083" s="16">
        <v>19.010000000000002</v>
      </c>
      <c r="L1083" s="16">
        <v>29.24</v>
      </c>
      <c r="M1083" s="16">
        <v>28.95</v>
      </c>
    </row>
    <row r="1084" spans="2:13" ht="33.75" outlineLevel="3" x14ac:dyDescent="0.2">
      <c r="B1084" s="4" t="str">
        <f t="shared" si="38"/>
        <v>0010710100</v>
      </c>
      <c r="C1084" s="5" t="str">
        <f>"436030"</f>
        <v>436030</v>
      </c>
      <c r="D1084" s="12" t="s">
        <v>949</v>
      </c>
      <c r="E1084" s="14" t="s">
        <v>926</v>
      </c>
      <c r="F1084" s="12" t="s">
        <v>3</v>
      </c>
      <c r="G1084" s="15">
        <v>98</v>
      </c>
      <c r="H1084" s="12" t="s">
        <v>951</v>
      </c>
      <c r="I1084" s="12" t="s">
        <v>109</v>
      </c>
      <c r="K1084" s="16">
        <v>19.010000000000002</v>
      </c>
      <c r="L1084" s="16">
        <v>29.24</v>
      </c>
      <c r="M1084" s="16">
        <v>28.95</v>
      </c>
    </row>
    <row r="1085" spans="2:13" ht="33.75" outlineLevel="3" x14ac:dyDescent="0.2">
      <c r="B1085" s="4" t="str">
        <f t="shared" si="38"/>
        <v>0010710100</v>
      </c>
      <c r="C1085" s="5" t="str">
        <f>"546722"</f>
        <v>546722</v>
      </c>
      <c r="D1085" s="12" t="s">
        <v>955</v>
      </c>
      <c r="E1085" s="14" t="s">
        <v>926</v>
      </c>
      <c r="F1085" s="12" t="s">
        <v>3</v>
      </c>
      <c r="G1085" s="15">
        <v>98</v>
      </c>
      <c r="H1085" s="12" t="s">
        <v>951</v>
      </c>
      <c r="I1085" s="12" t="s">
        <v>5</v>
      </c>
      <c r="K1085" s="16">
        <v>19.010000000000002</v>
      </c>
      <c r="L1085" s="16">
        <v>29.24</v>
      </c>
      <c r="M1085" s="16">
        <v>28.95</v>
      </c>
    </row>
    <row r="1086" spans="2:13" ht="33.75" outlineLevel="3" x14ac:dyDescent="0.2">
      <c r="B1086" s="4" t="str">
        <f t="shared" si="38"/>
        <v>0010710100</v>
      </c>
      <c r="C1086" s="5" t="str">
        <f>"065229"</f>
        <v>065229</v>
      </c>
      <c r="D1086" s="12" t="s">
        <v>953</v>
      </c>
      <c r="E1086" s="14" t="s">
        <v>926</v>
      </c>
      <c r="F1086" s="12" t="s">
        <v>3</v>
      </c>
      <c r="G1086" s="15">
        <v>98</v>
      </c>
      <c r="H1086" s="12" t="s">
        <v>951</v>
      </c>
      <c r="I1086" s="12" t="s">
        <v>70</v>
      </c>
      <c r="K1086" s="16">
        <v>19</v>
      </c>
      <c r="L1086" s="16">
        <v>29.23</v>
      </c>
      <c r="M1086" s="16">
        <v>28.95</v>
      </c>
    </row>
    <row r="1087" spans="2:13" ht="33.75" outlineLevel="3" x14ac:dyDescent="0.2">
      <c r="B1087" s="4" t="str">
        <f t="shared" si="38"/>
        <v>0010710100</v>
      </c>
      <c r="C1087" s="5" t="str">
        <f>"511484"</f>
        <v>511484</v>
      </c>
      <c r="D1087" s="12" t="s">
        <v>957</v>
      </c>
      <c r="E1087" s="14" t="s">
        <v>926</v>
      </c>
      <c r="F1087" s="12" t="s">
        <v>3</v>
      </c>
      <c r="G1087" s="15">
        <v>98</v>
      </c>
      <c r="H1087" s="12" t="s">
        <v>951</v>
      </c>
      <c r="I1087" s="12" t="s">
        <v>60</v>
      </c>
      <c r="K1087" s="16">
        <v>17.8</v>
      </c>
      <c r="L1087" s="16">
        <v>27.45</v>
      </c>
      <c r="M1087" s="16">
        <v>28.95</v>
      </c>
    </row>
    <row r="1088" spans="2:13" outlineLevel="2" x14ac:dyDescent="0.2"/>
    <row r="1089" spans="1:13" ht="33.75" outlineLevel="3" x14ac:dyDescent="0.2">
      <c r="B1089" s="4" t="str">
        <f t="shared" ref="B1089:B1095" si="39">"0010720100"</f>
        <v>0010720100</v>
      </c>
      <c r="C1089" s="5" t="str">
        <f>"509128"</f>
        <v>509128</v>
      </c>
      <c r="D1089" s="12" t="s">
        <v>954</v>
      </c>
      <c r="E1089" s="14" t="s">
        <v>1081</v>
      </c>
      <c r="F1089" s="12" t="s">
        <v>3</v>
      </c>
      <c r="G1089" s="15">
        <v>98</v>
      </c>
      <c r="H1089" s="12" t="s">
        <v>951</v>
      </c>
      <c r="I1089" s="12" t="s">
        <v>28</v>
      </c>
      <c r="J1089" s="2" t="s">
        <v>1400</v>
      </c>
      <c r="K1089" s="16" t="s">
        <v>1401</v>
      </c>
      <c r="L1089" s="16" t="s">
        <v>1401</v>
      </c>
      <c r="M1089" s="16">
        <v>28.51</v>
      </c>
    </row>
    <row r="1090" spans="1:13" ht="33.75" outlineLevel="3" x14ac:dyDescent="0.2">
      <c r="B1090" s="4" t="str">
        <f t="shared" si="39"/>
        <v>0010720100</v>
      </c>
      <c r="C1090" s="5" t="str">
        <f>"013767"</f>
        <v>013767</v>
      </c>
      <c r="D1090" s="12" t="s">
        <v>949</v>
      </c>
      <c r="E1090" s="14" t="s">
        <v>1081</v>
      </c>
      <c r="F1090" s="12" t="s">
        <v>3</v>
      </c>
      <c r="G1090" s="15">
        <v>98</v>
      </c>
      <c r="H1090" s="12" t="s">
        <v>951</v>
      </c>
      <c r="I1090" s="12" t="s">
        <v>109</v>
      </c>
      <c r="K1090" s="16">
        <v>19.010000000000002</v>
      </c>
      <c r="L1090" s="16">
        <v>29.24</v>
      </c>
      <c r="M1090" s="16">
        <v>28.51</v>
      </c>
    </row>
    <row r="1091" spans="1:13" ht="33.75" outlineLevel="3" x14ac:dyDescent="0.2">
      <c r="B1091" s="4" t="str">
        <f t="shared" si="39"/>
        <v>0010720100</v>
      </c>
      <c r="C1091" s="5" t="str">
        <f>"055153"</f>
        <v>055153</v>
      </c>
      <c r="D1091" s="12" t="s">
        <v>952</v>
      </c>
      <c r="E1091" s="14" t="s">
        <v>1081</v>
      </c>
      <c r="F1091" s="12" t="s">
        <v>3</v>
      </c>
      <c r="G1091" s="15">
        <v>98</v>
      </c>
      <c r="H1091" s="12" t="s">
        <v>951</v>
      </c>
      <c r="I1091" s="12" t="s">
        <v>68</v>
      </c>
      <c r="K1091" s="16">
        <v>19.010000000000002</v>
      </c>
      <c r="L1091" s="16">
        <v>29.24</v>
      </c>
      <c r="M1091" s="16">
        <v>28.51</v>
      </c>
    </row>
    <row r="1092" spans="1:13" ht="33.75" outlineLevel="3" x14ac:dyDescent="0.2">
      <c r="B1092" s="4" t="str">
        <f t="shared" si="39"/>
        <v>0010720100</v>
      </c>
      <c r="C1092" s="5" t="str">
        <f>"462849"</f>
        <v>462849</v>
      </c>
      <c r="D1092" s="12" t="s">
        <v>956</v>
      </c>
      <c r="E1092" s="14" t="s">
        <v>1081</v>
      </c>
      <c r="F1092" s="12" t="s">
        <v>3</v>
      </c>
      <c r="G1092" s="15">
        <v>98</v>
      </c>
      <c r="H1092" s="12" t="s">
        <v>951</v>
      </c>
      <c r="I1092" s="12" t="s">
        <v>30</v>
      </c>
      <c r="K1092" s="16">
        <v>19.010000000000002</v>
      </c>
      <c r="L1092" s="16">
        <v>29.24</v>
      </c>
      <c r="M1092" s="16">
        <v>28.51</v>
      </c>
    </row>
    <row r="1093" spans="1:13" ht="33.75" outlineLevel="3" x14ac:dyDescent="0.2">
      <c r="B1093" s="4" t="str">
        <f t="shared" si="39"/>
        <v>0010720100</v>
      </c>
      <c r="C1093" s="5" t="str">
        <f>"501225"</f>
        <v>501225</v>
      </c>
      <c r="D1093" s="12" t="s">
        <v>955</v>
      </c>
      <c r="E1093" s="14" t="s">
        <v>1081</v>
      </c>
      <c r="F1093" s="12" t="s">
        <v>3</v>
      </c>
      <c r="G1093" s="15">
        <v>98</v>
      </c>
      <c r="H1093" s="12" t="s">
        <v>951</v>
      </c>
      <c r="I1093" s="12" t="s">
        <v>5</v>
      </c>
      <c r="K1093" s="16">
        <v>19.010000000000002</v>
      </c>
      <c r="L1093" s="16">
        <v>29.24</v>
      </c>
      <c r="M1093" s="16">
        <v>28.51</v>
      </c>
    </row>
    <row r="1094" spans="1:13" ht="33.75" outlineLevel="3" x14ac:dyDescent="0.2">
      <c r="B1094" s="4" t="str">
        <f t="shared" si="39"/>
        <v>0010720100</v>
      </c>
      <c r="C1094" s="5" t="str">
        <f>"184353"</f>
        <v>184353</v>
      </c>
      <c r="D1094" s="12" t="s">
        <v>953</v>
      </c>
      <c r="E1094" s="14" t="s">
        <v>1081</v>
      </c>
      <c r="F1094" s="12" t="s">
        <v>3</v>
      </c>
      <c r="G1094" s="15">
        <v>98</v>
      </c>
      <c r="H1094" s="12" t="s">
        <v>951</v>
      </c>
      <c r="I1094" s="12" t="s">
        <v>70</v>
      </c>
      <c r="K1094" s="16">
        <v>19</v>
      </c>
      <c r="L1094" s="16">
        <v>29.23</v>
      </c>
      <c r="M1094" s="16">
        <v>28.51</v>
      </c>
    </row>
    <row r="1095" spans="1:13" ht="33.75" outlineLevel="3" x14ac:dyDescent="0.2">
      <c r="B1095" s="4" t="str">
        <f t="shared" si="39"/>
        <v>0010720100</v>
      </c>
      <c r="C1095" s="5" t="str">
        <f>"139083"</f>
        <v>139083</v>
      </c>
      <c r="D1095" s="12" t="s">
        <v>957</v>
      </c>
      <c r="E1095" s="14" t="s">
        <v>1081</v>
      </c>
      <c r="F1095" s="12" t="s">
        <v>3</v>
      </c>
      <c r="G1095" s="15">
        <v>98</v>
      </c>
      <c r="H1095" s="12" t="s">
        <v>951</v>
      </c>
      <c r="I1095" s="12" t="s">
        <v>60</v>
      </c>
      <c r="K1095" s="16">
        <v>17.5</v>
      </c>
      <c r="L1095" s="16">
        <v>27.01</v>
      </c>
      <c r="M1095" s="16">
        <v>28.51</v>
      </c>
    </row>
    <row r="1096" spans="1:13" outlineLevel="1" x14ac:dyDescent="0.2">
      <c r="A1096" s="3"/>
    </row>
    <row r="1097" spans="1:13" outlineLevel="2" x14ac:dyDescent="0.2">
      <c r="A1097" s="3" t="s">
        <v>1454</v>
      </c>
    </row>
    <row r="1098" spans="1:13" ht="22.5" outlineLevel="3" x14ac:dyDescent="0.2">
      <c r="B1098" s="4" t="str">
        <f t="shared" ref="B1098:B1103" si="40">"0011740030"</f>
        <v>0011740030</v>
      </c>
      <c r="C1098" s="5" t="str">
        <f>"073758"</f>
        <v>073758</v>
      </c>
      <c r="D1098" s="12" t="s">
        <v>1155</v>
      </c>
      <c r="E1098" s="14" t="s">
        <v>1156</v>
      </c>
      <c r="F1098" s="12" t="s">
        <v>73</v>
      </c>
      <c r="G1098" s="15">
        <v>28</v>
      </c>
      <c r="H1098" s="12" t="s">
        <v>1157</v>
      </c>
      <c r="I1098" s="12" t="s">
        <v>509</v>
      </c>
      <c r="K1098" s="16">
        <v>6.44</v>
      </c>
      <c r="L1098" s="16">
        <v>10.27</v>
      </c>
      <c r="M1098" s="16">
        <v>11.77</v>
      </c>
    </row>
    <row r="1099" spans="1:13" ht="22.5" outlineLevel="3" x14ac:dyDescent="0.2">
      <c r="B1099" s="4" t="str">
        <f t="shared" si="40"/>
        <v>0011740030</v>
      </c>
      <c r="C1099" s="5" t="str">
        <f>"120419"</f>
        <v>120419</v>
      </c>
      <c r="D1099" s="12" t="s">
        <v>1158</v>
      </c>
      <c r="E1099" s="14" t="s">
        <v>1156</v>
      </c>
      <c r="F1099" s="12" t="s">
        <v>73</v>
      </c>
      <c r="G1099" s="15">
        <v>28</v>
      </c>
      <c r="H1099" s="12" t="s">
        <v>1157</v>
      </c>
      <c r="I1099" s="12" t="s">
        <v>28</v>
      </c>
      <c r="K1099" s="16">
        <v>6.44</v>
      </c>
      <c r="L1099" s="16">
        <v>10.27</v>
      </c>
      <c r="M1099" s="16">
        <v>11.77</v>
      </c>
    </row>
    <row r="1100" spans="1:13" ht="22.5" outlineLevel="3" x14ac:dyDescent="0.2">
      <c r="B1100" s="4" t="str">
        <f t="shared" si="40"/>
        <v>0011740030</v>
      </c>
      <c r="C1100" s="5" t="str">
        <f>"184551"</f>
        <v>184551</v>
      </c>
      <c r="D1100" s="12" t="s">
        <v>1159</v>
      </c>
      <c r="E1100" s="14" t="s">
        <v>1156</v>
      </c>
      <c r="F1100" s="12" t="s">
        <v>73</v>
      </c>
      <c r="G1100" s="15">
        <v>28</v>
      </c>
      <c r="H1100" s="12" t="s">
        <v>1157</v>
      </c>
      <c r="I1100" s="12" t="s">
        <v>5</v>
      </c>
      <c r="K1100" s="16">
        <v>6.44</v>
      </c>
      <c r="L1100" s="16">
        <v>10.27</v>
      </c>
      <c r="M1100" s="16">
        <v>11.77</v>
      </c>
    </row>
    <row r="1101" spans="1:13" ht="22.5" outlineLevel="3" x14ac:dyDescent="0.2">
      <c r="B1101" s="4" t="str">
        <f t="shared" si="40"/>
        <v>0011740030</v>
      </c>
      <c r="C1101" s="5" t="str">
        <f>"198456"</f>
        <v>198456</v>
      </c>
      <c r="D1101" s="12" t="s">
        <v>1160</v>
      </c>
      <c r="E1101" s="14" t="s">
        <v>1156</v>
      </c>
      <c r="F1101" s="12" t="s">
        <v>73</v>
      </c>
      <c r="G1101" s="15">
        <v>30</v>
      </c>
      <c r="H1101" s="12" t="s">
        <v>1157</v>
      </c>
      <c r="I1101" s="12" t="s">
        <v>70</v>
      </c>
      <c r="K1101" s="16">
        <v>6.44</v>
      </c>
      <c r="L1101" s="16">
        <v>10.27</v>
      </c>
      <c r="M1101" s="16">
        <v>11.77</v>
      </c>
    </row>
    <row r="1102" spans="1:13" ht="22.5" outlineLevel="3" x14ac:dyDescent="0.2">
      <c r="B1102" s="4" t="str">
        <f t="shared" si="40"/>
        <v>0011740030</v>
      </c>
      <c r="C1102" s="5" t="str">
        <f>"502983"</f>
        <v>502983</v>
      </c>
      <c r="D1102" s="12" t="s">
        <v>1161</v>
      </c>
      <c r="E1102" s="14" t="s">
        <v>1156</v>
      </c>
      <c r="F1102" s="12" t="s">
        <v>73</v>
      </c>
      <c r="G1102" s="15">
        <v>30</v>
      </c>
      <c r="H1102" s="12" t="s">
        <v>1157</v>
      </c>
      <c r="I1102" s="12" t="s">
        <v>68</v>
      </c>
      <c r="K1102" s="16">
        <v>6.44</v>
      </c>
      <c r="L1102" s="16">
        <v>10.27</v>
      </c>
      <c r="M1102" s="16">
        <v>11.77</v>
      </c>
    </row>
    <row r="1103" spans="1:13" ht="22.5" outlineLevel="3" x14ac:dyDescent="0.2">
      <c r="B1103" s="4" t="str">
        <f t="shared" si="40"/>
        <v>0011740030</v>
      </c>
      <c r="C1103" s="5" t="str">
        <f>"577681"</f>
        <v>577681</v>
      </c>
      <c r="D1103" s="12" t="s">
        <v>1162</v>
      </c>
      <c r="E1103" s="14" t="s">
        <v>1156</v>
      </c>
      <c r="F1103" s="12" t="s">
        <v>73</v>
      </c>
      <c r="G1103" s="15">
        <v>28</v>
      </c>
      <c r="H1103" s="12" t="s">
        <v>1157</v>
      </c>
      <c r="I1103" s="12" t="s">
        <v>60</v>
      </c>
      <c r="K1103" s="16">
        <v>6.44</v>
      </c>
      <c r="L1103" s="16">
        <v>10.27</v>
      </c>
      <c r="M1103" s="16">
        <v>11.77</v>
      </c>
    </row>
    <row r="1104" spans="1:13" outlineLevel="2" x14ac:dyDescent="0.2"/>
    <row r="1105" spans="2:13" ht="22.5" outlineLevel="3" x14ac:dyDescent="0.2">
      <c r="B1105" s="4" t="str">
        <f t="shared" ref="B1105:B1111" si="41">"0011740100"</f>
        <v>0011740100</v>
      </c>
      <c r="C1105" s="5" t="str">
        <f>"057042"</f>
        <v>057042</v>
      </c>
      <c r="D1105" s="12" t="s">
        <v>1163</v>
      </c>
      <c r="E1105" s="14" t="s">
        <v>1156</v>
      </c>
      <c r="F1105" s="12" t="s">
        <v>73</v>
      </c>
      <c r="G1105" s="15">
        <v>98</v>
      </c>
      <c r="H1105" s="12" t="s">
        <v>1157</v>
      </c>
      <c r="I1105" s="12" t="s">
        <v>22</v>
      </c>
      <c r="K1105" s="16">
        <v>35.75</v>
      </c>
      <c r="L1105" s="16">
        <v>54.1</v>
      </c>
      <c r="M1105" s="16">
        <v>22.57</v>
      </c>
    </row>
    <row r="1106" spans="2:13" ht="22.5" outlineLevel="3" x14ac:dyDescent="0.2">
      <c r="B1106" s="4" t="str">
        <f t="shared" si="41"/>
        <v>0011740100</v>
      </c>
      <c r="C1106" s="5" t="str">
        <f>"177042"</f>
        <v>177042</v>
      </c>
      <c r="D1106" s="12" t="s">
        <v>1155</v>
      </c>
      <c r="E1106" s="14" t="s">
        <v>1156</v>
      </c>
      <c r="F1106" s="12" t="s">
        <v>73</v>
      </c>
      <c r="G1106" s="15">
        <v>98</v>
      </c>
      <c r="H1106" s="12" t="s">
        <v>1157</v>
      </c>
      <c r="I1106" s="12" t="s">
        <v>509</v>
      </c>
      <c r="K1106" s="16">
        <v>14.67</v>
      </c>
      <c r="L1106" s="16">
        <v>22.79</v>
      </c>
      <c r="M1106" s="16">
        <v>22.57</v>
      </c>
    </row>
    <row r="1107" spans="2:13" ht="22.5" outlineLevel="3" x14ac:dyDescent="0.2">
      <c r="B1107" s="4" t="str">
        <f t="shared" si="41"/>
        <v>0011740100</v>
      </c>
      <c r="C1107" s="5" t="str">
        <f>"180527"</f>
        <v>180527</v>
      </c>
      <c r="D1107" s="12" t="s">
        <v>1161</v>
      </c>
      <c r="E1107" s="14" t="s">
        <v>1156</v>
      </c>
      <c r="F1107" s="12" t="s">
        <v>73</v>
      </c>
      <c r="G1107" s="15">
        <v>100</v>
      </c>
      <c r="H1107" s="12" t="s">
        <v>1157</v>
      </c>
      <c r="I1107" s="12" t="s">
        <v>68</v>
      </c>
      <c r="K1107" s="16">
        <v>14.67</v>
      </c>
      <c r="L1107" s="16">
        <v>22.79</v>
      </c>
      <c r="M1107" s="16">
        <v>22.57</v>
      </c>
    </row>
    <row r="1108" spans="2:13" ht="22.5" outlineLevel="3" x14ac:dyDescent="0.2">
      <c r="B1108" s="4" t="str">
        <f t="shared" si="41"/>
        <v>0011740100</v>
      </c>
      <c r="C1108" s="5" t="str">
        <f>"191568"</f>
        <v>191568</v>
      </c>
      <c r="D1108" s="12" t="s">
        <v>1158</v>
      </c>
      <c r="E1108" s="14" t="s">
        <v>1156</v>
      </c>
      <c r="F1108" s="12" t="s">
        <v>73</v>
      </c>
      <c r="G1108" s="15">
        <v>98</v>
      </c>
      <c r="H1108" s="12" t="s">
        <v>1157</v>
      </c>
      <c r="I1108" s="12" t="s">
        <v>28</v>
      </c>
      <c r="K1108" s="16">
        <v>14.67</v>
      </c>
      <c r="L1108" s="16">
        <v>22.79</v>
      </c>
      <c r="M1108" s="16">
        <v>22.57</v>
      </c>
    </row>
    <row r="1109" spans="2:13" ht="22.5" outlineLevel="3" x14ac:dyDescent="0.2">
      <c r="B1109" s="4" t="str">
        <f t="shared" si="41"/>
        <v>0011740100</v>
      </c>
      <c r="C1109" s="5" t="str">
        <f>"598886"</f>
        <v>598886</v>
      </c>
      <c r="D1109" s="12" t="s">
        <v>1159</v>
      </c>
      <c r="E1109" s="14" t="s">
        <v>1156</v>
      </c>
      <c r="F1109" s="12" t="s">
        <v>73</v>
      </c>
      <c r="G1109" s="15">
        <v>98</v>
      </c>
      <c r="H1109" s="12" t="s">
        <v>1157</v>
      </c>
      <c r="I1109" s="12" t="s">
        <v>5</v>
      </c>
      <c r="K1109" s="16">
        <v>14.67</v>
      </c>
      <c r="L1109" s="16">
        <v>22.79</v>
      </c>
      <c r="M1109" s="16">
        <v>22.57</v>
      </c>
    </row>
    <row r="1110" spans="2:13" ht="22.5" outlineLevel="3" x14ac:dyDescent="0.2">
      <c r="B1110" s="4" t="str">
        <f t="shared" si="41"/>
        <v>0011740100</v>
      </c>
      <c r="C1110" s="5" t="str">
        <f>"431000"</f>
        <v>431000</v>
      </c>
      <c r="D1110" s="12" t="s">
        <v>1160</v>
      </c>
      <c r="E1110" s="14" t="s">
        <v>1156</v>
      </c>
      <c r="F1110" s="12" t="s">
        <v>73</v>
      </c>
      <c r="G1110" s="15">
        <v>100</v>
      </c>
      <c r="H1110" s="12" t="s">
        <v>1157</v>
      </c>
      <c r="I1110" s="12" t="s">
        <v>70</v>
      </c>
      <c r="K1110" s="16">
        <v>14.66</v>
      </c>
      <c r="L1110" s="16">
        <v>22.78</v>
      </c>
      <c r="M1110" s="16">
        <v>22.57</v>
      </c>
    </row>
    <row r="1111" spans="2:13" ht="22.5" outlineLevel="3" x14ac:dyDescent="0.2">
      <c r="B1111" s="4" t="str">
        <f t="shared" si="41"/>
        <v>0011740100</v>
      </c>
      <c r="C1111" s="5" t="str">
        <f>"075956"</f>
        <v>075956</v>
      </c>
      <c r="D1111" s="12" t="s">
        <v>1162</v>
      </c>
      <c r="E1111" s="14" t="s">
        <v>1156</v>
      </c>
      <c r="F1111" s="12" t="s">
        <v>73</v>
      </c>
      <c r="G1111" s="15">
        <v>98</v>
      </c>
      <c r="H1111" s="12" t="s">
        <v>1157</v>
      </c>
      <c r="I1111" s="12" t="s">
        <v>60</v>
      </c>
      <c r="K1111" s="16">
        <v>13.5</v>
      </c>
      <c r="L1111" s="16">
        <v>21.07</v>
      </c>
      <c r="M1111" s="16">
        <v>22.57</v>
      </c>
    </row>
    <row r="1112" spans="2:13" outlineLevel="2" x14ac:dyDescent="0.2"/>
    <row r="1113" spans="2:13" ht="22.5" outlineLevel="3" x14ac:dyDescent="0.2">
      <c r="B1113" s="4" t="str">
        <f>"0012030030"</f>
        <v>0012030030</v>
      </c>
      <c r="C1113" s="5" t="str">
        <f>"029570"</f>
        <v>029570</v>
      </c>
      <c r="D1113" s="12" t="s">
        <v>1158</v>
      </c>
      <c r="E1113" s="14" t="s">
        <v>1186</v>
      </c>
      <c r="F1113" s="12" t="s">
        <v>73</v>
      </c>
      <c r="G1113" s="15">
        <v>28</v>
      </c>
      <c r="H1113" s="12" t="s">
        <v>1157</v>
      </c>
      <c r="I1113" s="12" t="s">
        <v>28</v>
      </c>
      <c r="K1113" s="16">
        <v>8.48</v>
      </c>
      <c r="L1113" s="16">
        <v>13.53</v>
      </c>
      <c r="M1113" s="16">
        <v>15.03</v>
      </c>
    </row>
    <row r="1114" spans="2:13" outlineLevel="2" x14ac:dyDescent="0.2"/>
    <row r="1115" spans="2:13" ht="22.5" outlineLevel="3" x14ac:dyDescent="0.2">
      <c r="B1115" s="4" t="str">
        <f>"0012030100"</f>
        <v>0012030100</v>
      </c>
      <c r="C1115" s="5" t="str">
        <f>"384490"</f>
        <v>384490</v>
      </c>
      <c r="D1115" s="12" t="s">
        <v>1158</v>
      </c>
      <c r="E1115" s="14" t="s">
        <v>1186</v>
      </c>
      <c r="F1115" s="12" t="s">
        <v>73</v>
      </c>
      <c r="G1115" s="15">
        <v>98</v>
      </c>
      <c r="H1115" s="12" t="s">
        <v>1157</v>
      </c>
      <c r="I1115" s="12" t="s">
        <v>28</v>
      </c>
      <c r="K1115" s="16">
        <v>28.74</v>
      </c>
      <c r="L1115" s="16">
        <v>43.69</v>
      </c>
      <c r="M1115" s="16">
        <v>45.69</v>
      </c>
    </row>
    <row r="1116" spans="2:13" outlineLevel="2" x14ac:dyDescent="0.2"/>
    <row r="1117" spans="2:13" ht="22.5" outlineLevel="3" x14ac:dyDescent="0.2">
      <c r="B1117" s="4" t="str">
        <f>"0012690030"</f>
        <v>0012690030</v>
      </c>
      <c r="C1117" s="5" t="str">
        <f>"409371"</f>
        <v>409371</v>
      </c>
      <c r="D1117" s="12" t="s">
        <v>1159</v>
      </c>
      <c r="E1117" s="14" t="s">
        <v>1214</v>
      </c>
      <c r="F1117" s="12" t="s">
        <v>73</v>
      </c>
      <c r="G1117" s="15">
        <v>28</v>
      </c>
      <c r="H1117" s="12" t="s">
        <v>1157</v>
      </c>
      <c r="I1117" s="12" t="s">
        <v>5</v>
      </c>
      <c r="K1117" s="16">
        <v>15.26</v>
      </c>
      <c r="L1117" s="16">
        <v>23.67</v>
      </c>
      <c r="M1117" s="16">
        <v>25.17</v>
      </c>
    </row>
    <row r="1118" spans="2:13" ht="22.5" outlineLevel="3" x14ac:dyDescent="0.2">
      <c r="B1118" s="4" t="str">
        <f>"0012690030"</f>
        <v>0012690030</v>
      </c>
      <c r="C1118" s="5" t="str">
        <f>"480656"</f>
        <v>480656</v>
      </c>
      <c r="D1118" s="12" t="s">
        <v>1155</v>
      </c>
      <c r="E1118" s="14" t="s">
        <v>1214</v>
      </c>
      <c r="F1118" s="12" t="s">
        <v>73</v>
      </c>
      <c r="G1118" s="15">
        <v>28</v>
      </c>
      <c r="H1118" s="12" t="s">
        <v>1157</v>
      </c>
      <c r="I1118" s="12" t="s">
        <v>509</v>
      </c>
      <c r="K1118" s="16">
        <v>15.26</v>
      </c>
      <c r="L1118" s="16">
        <v>23.67</v>
      </c>
      <c r="M1118" s="16">
        <v>25.17</v>
      </c>
    </row>
    <row r="1119" spans="2:13" outlineLevel="2" x14ac:dyDescent="0.2"/>
    <row r="1120" spans="2:13" ht="22.5" outlineLevel="3" x14ac:dyDescent="0.2">
      <c r="B1120" s="4" t="str">
        <f>"0012690100"</f>
        <v>0012690100</v>
      </c>
      <c r="C1120" s="5" t="str">
        <f>"029706"</f>
        <v>029706</v>
      </c>
      <c r="D1120" s="12" t="s">
        <v>1163</v>
      </c>
      <c r="E1120" s="14" t="s">
        <v>1214</v>
      </c>
      <c r="F1120" s="12" t="s">
        <v>73</v>
      </c>
      <c r="G1120" s="15">
        <v>98</v>
      </c>
      <c r="H1120" s="12" t="s">
        <v>1157</v>
      </c>
      <c r="I1120" s="12" t="s">
        <v>22</v>
      </c>
      <c r="K1120" s="16">
        <v>53.41</v>
      </c>
      <c r="L1120" s="16">
        <v>79.53</v>
      </c>
      <c r="M1120" s="16">
        <v>81.53</v>
      </c>
    </row>
    <row r="1121" spans="1:13" ht="22.5" outlineLevel="3" x14ac:dyDescent="0.2">
      <c r="B1121" s="4" t="str">
        <f>"0012690100"</f>
        <v>0012690100</v>
      </c>
      <c r="C1121" s="5" t="str">
        <f>"427606"</f>
        <v>427606</v>
      </c>
      <c r="D1121" s="12" t="s">
        <v>1158</v>
      </c>
      <c r="E1121" s="14" t="s">
        <v>1214</v>
      </c>
      <c r="F1121" s="12" t="s">
        <v>73</v>
      </c>
      <c r="G1121" s="15">
        <v>98</v>
      </c>
      <c r="H1121" s="12" t="s">
        <v>1157</v>
      </c>
      <c r="I1121" s="12" t="s">
        <v>28</v>
      </c>
      <c r="K1121" s="16">
        <v>53.41</v>
      </c>
      <c r="L1121" s="16">
        <v>79.53</v>
      </c>
      <c r="M1121" s="16">
        <v>81.53</v>
      </c>
    </row>
    <row r="1122" spans="1:13" ht="22.5" outlineLevel="3" x14ac:dyDescent="0.2">
      <c r="B1122" s="4" t="str">
        <f>"0012690100"</f>
        <v>0012690100</v>
      </c>
      <c r="C1122" s="5" t="str">
        <f>"449361"</f>
        <v>449361</v>
      </c>
      <c r="D1122" s="12" t="s">
        <v>1155</v>
      </c>
      <c r="E1122" s="14" t="s">
        <v>1214</v>
      </c>
      <c r="F1122" s="12" t="s">
        <v>73</v>
      </c>
      <c r="G1122" s="15">
        <v>98</v>
      </c>
      <c r="H1122" s="12" t="s">
        <v>1157</v>
      </c>
      <c r="I1122" s="12" t="s">
        <v>509</v>
      </c>
      <c r="K1122" s="16">
        <v>53.41</v>
      </c>
      <c r="L1122" s="16">
        <v>79.53</v>
      </c>
      <c r="M1122" s="16">
        <v>81.53</v>
      </c>
    </row>
    <row r="1123" spans="1:13" ht="22.5" outlineLevel="3" x14ac:dyDescent="0.2">
      <c r="B1123" s="4" t="str">
        <f>"0012690100"</f>
        <v>0012690100</v>
      </c>
      <c r="C1123" s="5" t="str">
        <f>"514071"</f>
        <v>514071</v>
      </c>
      <c r="D1123" s="12" t="s">
        <v>1159</v>
      </c>
      <c r="E1123" s="14" t="s">
        <v>1214</v>
      </c>
      <c r="F1123" s="12" t="s">
        <v>73</v>
      </c>
      <c r="G1123" s="15">
        <v>98</v>
      </c>
      <c r="H1123" s="12" t="s">
        <v>1157</v>
      </c>
      <c r="I1123" s="12" t="s">
        <v>5</v>
      </c>
      <c r="K1123" s="16">
        <v>53.41</v>
      </c>
      <c r="L1123" s="16">
        <v>79.53</v>
      </c>
      <c r="M1123" s="16">
        <v>81.53</v>
      </c>
    </row>
    <row r="1124" spans="1:13" outlineLevel="2" x14ac:dyDescent="0.2"/>
    <row r="1125" spans="1:13" ht="22.5" outlineLevel="3" x14ac:dyDescent="0.2">
      <c r="B1125" s="4" t="str">
        <f>"0012700030"</f>
        <v>0012700030</v>
      </c>
      <c r="C1125" s="5" t="str">
        <f>"512586"</f>
        <v>512586</v>
      </c>
      <c r="D1125" s="12" t="s">
        <v>1155</v>
      </c>
      <c r="E1125" s="14" t="s">
        <v>1215</v>
      </c>
      <c r="F1125" s="12" t="s">
        <v>73</v>
      </c>
      <c r="G1125" s="15">
        <v>28</v>
      </c>
      <c r="H1125" s="12" t="s">
        <v>1157</v>
      </c>
      <c r="I1125" s="12" t="s">
        <v>509</v>
      </c>
      <c r="K1125" s="16">
        <v>15.26</v>
      </c>
      <c r="L1125" s="16">
        <v>23.67</v>
      </c>
      <c r="M1125" s="16">
        <v>25.17</v>
      </c>
    </row>
    <row r="1126" spans="1:13" ht="22.5" outlineLevel="3" x14ac:dyDescent="0.2">
      <c r="B1126" s="4" t="str">
        <f>"0012700030"</f>
        <v>0012700030</v>
      </c>
      <c r="C1126" s="5" t="str">
        <f>"537782"</f>
        <v>537782</v>
      </c>
      <c r="D1126" s="12" t="s">
        <v>1159</v>
      </c>
      <c r="E1126" s="14" t="s">
        <v>1215</v>
      </c>
      <c r="F1126" s="12" t="s">
        <v>73</v>
      </c>
      <c r="G1126" s="15">
        <v>28</v>
      </c>
      <c r="H1126" s="12" t="s">
        <v>1157</v>
      </c>
      <c r="I1126" s="12" t="s">
        <v>5</v>
      </c>
      <c r="K1126" s="16">
        <v>15.26</v>
      </c>
      <c r="L1126" s="16">
        <v>23.67</v>
      </c>
      <c r="M1126" s="16">
        <v>25.17</v>
      </c>
    </row>
    <row r="1127" spans="1:13" outlineLevel="2" x14ac:dyDescent="0.2"/>
    <row r="1128" spans="1:13" ht="22.5" outlineLevel="3" x14ac:dyDescent="0.2">
      <c r="B1128" s="4" t="str">
        <f>"0012700100"</f>
        <v>0012700100</v>
      </c>
      <c r="C1128" s="5" t="str">
        <f>"029729"</f>
        <v>029729</v>
      </c>
      <c r="D1128" s="12" t="s">
        <v>1163</v>
      </c>
      <c r="E1128" s="14" t="s">
        <v>1215</v>
      </c>
      <c r="F1128" s="12" t="s">
        <v>73</v>
      </c>
      <c r="G1128" s="15">
        <v>98</v>
      </c>
      <c r="H1128" s="12" t="s">
        <v>1157</v>
      </c>
      <c r="I1128" s="12" t="s">
        <v>22</v>
      </c>
      <c r="K1128" s="16">
        <v>53.41</v>
      </c>
      <c r="L1128" s="16">
        <v>79.53</v>
      </c>
      <c r="M1128" s="16">
        <v>81.53</v>
      </c>
    </row>
    <row r="1129" spans="1:13" ht="22.5" outlineLevel="3" x14ac:dyDescent="0.2">
      <c r="B1129" s="4" t="str">
        <f>"0012700100"</f>
        <v>0012700100</v>
      </c>
      <c r="C1129" s="5" t="str">
        <f>"182387"</f>
        <v>182387</v>
      </c>
      <c r="D1129" s="12" t="s">
        <v>1158</v>
      </c>
      <c r="E1129" s="14" t="s">
        <v>1215</v>
      </c>
      <c r="F1129" s="12" t="s">
        <v>73</v>
      </c>
      <c r="G1129" s="15">
        <v>98</v>
      </c>
      <c r="H1129" s="12" t="s">
        <v>1157</v>
      </c>
      <c r="I1129" s="12" t="s">
        <v>28</v>
      </c>
      <c r="K1129" s="16">
        <v>53.41</v>
      </c>
      <c r="L1129" s="16">
        <v>79.53</v>
      </c>
      <c r="M1129" s="16">
        <v>81.53</v>
      </c>
    </row>
    <row r="1130" spans="1:13" ht="22.5" outlineLevel="3" x14ac:dyDescent="0.2">
      <c r="B1130" s="4" t="str">
        <f>"0012700100"</f>
        <v>0012700100</v>
      </c>
      <c r="C1130" s="5" t="str">
        <f>"415843"</f>
        <v>415843</v>
      </c>
      <c r="D1130" s="12" t="s">
        <v>1155</v>
      </c>
      <c r="E1130" s="14" t="s">
        <v>1215</v>
      </c>
      <c r="F1130" s="12" t="s">
        <v>73</v>
      </c>
      <c r="G1130" s="15">
        <v>98</v>
      </c>
      <c r="H1130" s="12" t="s">
        <v>1157</v>
      </c>
      <c r="I1130" s="12" t="s">
        <v>509</v>
      </c>
      <c r="K1130" s="16">
        <v>53.41</v>
      </c>
      <c r="L1130" s="16">
        <v>79.53</v>
      </c>
      <c r="M1130" s="16">
        <v>81.53</v>
      </c>
    </row>
    <row r="1131" spans="1:13" ht="22.5" outlineLevel="3" x14ac:dyDescent="0.2">
      <c r="B1131" s="4" t="str">
        <f>"0012700100"</f>
        <v>0012700100</v>
      </c>
      <c r="C1131" s="5" t="str">
        <f>"550568"</f>
        <v>550568</v>
      </c>
      <c r="D1131" s="12" t="s">
        <v>1159</v>
      </c>
      <c r="E1131" s="14" t="s">
        <v>1215</v>
      </c>
      <c r="F1131" s="12" t="s">
        <v>73</v>
      </c>
      <c r="G1131" s="15">
        <v>98</v>
      </c>
      <c r="H1131" s="12" t="s">
        <v>1157</v>
      </c>
      <c r="I1131" s="12" t="s">
        <v>5</v>
      </c>
      <c r="K1131" s="16">
        <v>53.41</v>
      </c>
      <c r="L1131" s="16">
        <v>79.53</v>
      </c>
      <c r="M1131" s="16">
        <v>81.53</v>
      </c>
    </row>
    <row r="1132" spans="1:13" outlineLevel="1" x14ac:dyDescent="0.2">
      <c r="A1132" s="3"/>
    </row>
    <row r="1133" spans="1:13" outlineLevel="2" x14ac:dyDescent="0.2">
      <c r="A1133" s="3" t="s">
        <v>1455</v>
      </c>
    </row>
    <row r="1134" spans="1:13" ht="22.5" outlineLevel="3" x14ac:dyDescent="0.2">
      <c r="B1134" s="4" t="str">
        <f>"0008510030"</f>
        <v>0008510030</v>
      </c>
      <c r="C1134" s="5" t="str">
        <f>"428658"</f>
        <v>428658</v>
      </c>
      <c r="D1134" s="12" t="s">
        <v>928</v>
      </c>
      <c r="E1134" s="14" t="s">
        <v>926</v>
      </c>
      <c r="F1134" s="12" t="s">
        <v>73</v>
      </c>
      <c r="G1134" s="15">
        <v>30</v>
      </c>
      <c r="H1134" s="12" t="s">
        <v>927</v>
      </c>
      <c r="I1134" s="12" t="s">
        <v>509</v>
      </c>
      <c r="K1134" s="16">
        <v>8.1</v>
      </c>
      <c r="L1134" s="16">
        <v>12.93</v>
      </c>
      <c r="M1134" s="16">
        <v>13.56</v>
      </c>
    </row>
    <row r="1135" spans="1:13" ht="22.5" outlineLevel="3" x14ac:dyDescent="0.2">
      <c r="B1135" s="4" t="str">
        <f>"0008510030"</f>
        <v>0008510030</v>
      </c>
      <c r="C1135" s="5" t="str">
        <f>"395441"</f>
        <v>395441</v>
      </c>
      <c r="D1135" s="12" t="s">
        <v>925</v>
      </c>
      <c r="E1135" s="14" t="s">
        <v>926</v>
      </c>
      <c r="F1135" s="12" t="s">
        <v>73</v>
      </c>
      <c r="G1135" s="15">
        <v>28</v>
      </c>
      <c r="H1135" s="12" t="s">
        <v>927</v>
      </c>
      <c r="I1135" s="12" t="s">
        <v>5</v>
      </c>
      <c r="K1135" s="16">
        <v>7.56</v>
      </c>
      <c r="L1135" s="16">
        <v>12.06</v>
      </c>
      <c r="M1135" s="16">
        <v>13.56</v>
      </c>
    </row>
    <row r="1136" spans="1:13" outlineLevel="2" x14ac:dyDescent="0.2"/>
    <row r="1137" spans="2:13" ht="22.5" outlineLevel="3" x14ac:dyDescent="0.2">
      <c r="B1137" s="4" t="str">
        <f t="shared" ref="B1137:B1142" si="42">"0008510100"</f>
        <v>0008510100</v>
      </c>
      <c r="C1137" s="5" t="str">
        <f>"013534"</f>
        <v>013534</v>
      </c>
      <c r="D1137" s="12" t="s">
        <v>930</v>
      </c>
      <c r="E1137" s="14" t="s">
        <v>926</v>
      </c>
      <c r="F1137" s="12" t="s">
        <v>73</v>
      </c>
      <c r="G1137" s="15">
        <v>98</v>
      </c>
      <c r="H1137" s="12" t="s">
        <v>927</v>
      </c>
      <c r="I1137" s="12" t="s">
        <v>325</v>
      </c>
      <c r="K1137" s="16">
        <v>23.84</v>
      </c>
      <c r="L1137" s="16">
        <v>36.409999999999997</v>
      </c>
      <c r="M1137" s="16">
        <v>26.27</v>
      </c>
    </row>
    <row r="1138" spans="2:13" ht="22.5" outlineLevel="3" x14ac:dyDescent="0.2">
      <c r="B1138" s="4" t="str">
        <f t="shared" si="42"/>
        <v>0008510100</v>
      </c>
      <c r="C1138" s="5" t="str">
        <f>"010361"</f>
        <v>010361</v>
      </c>
      <c r="D1138" s="12" t="s">
        <v>929</v>
      </c>
      <c r="E1138" s="14" t="s">
        <v>926</v>
      </c>
      <c r="F1138" s="12" t="s">
        <v>73</v>
      </c>
      <c r="G1138" s="15">
        <v>98</v>
      </c>
      <c r="H1138" s="12" t="s">
        <v>927</v>
      </c>
      <c r="I1138" s="12" t="s">
        <v>374</v>
      </c>
      <c r="K1138" s="16">
        <v>17.12</v>
      </c>
      <c r="L1138" s="16">
        <v>26.43</v>
      </c>
      <c r="M1138" s="16">
        <v>26.27</v>
      </c>
    </row>
    <row r="1139" spans="2:13" ht="22.5" outlineLevel="3" x14ac:dyDescent="0.2">
      <c r="B1139" s="4" t="str">
        <f t="shared" si="42"/>
        <v>0008510100</v>
      </c>
      <c r="C1139" s="5" t="str">
        <f>"183270"</f>
        <v>183270</v>
      </c>
      <c r="D1139" s="12" t="s">
        <v>925</v>
      </c>
      <c r="E1139" s="14" t="s">
        <v>926</v>
      </c>
      <c r="F1139" s="12" t="s">
        <v>73</v>
      </c>
      <c r="G1139" s="15">
        <v>98</v>
      </c>
      <c r="H1139" s="12" t="s">
        <v>927</v>
      </c>
      <c r="I1139" s="12" t="s">
        <v>5</v>
      </c>
      <c r="K1139" s="16">
        <v>17.12</v>
      </c>
      <c r="L1139" s="16">
        <v>26.43</v>
      </c>
      <c r="M1139" s="16">
        <v>26.27</v>
      </c>
    </row>
    <row r="1140" spans="2:13" ht="22.5" outlineLevel="3" x14ac:dyDescent="0.2">
      <c r="B1140" s="4" t="str">
        <f t="shared" si="42"/>
        <v>0008510100</v>
      </c>
      <c r="C1140" s="5" t="str">
        <f>"381868"</f>
        <v>381868</v>
      </c>
      <c r="D1140" s="12" t="s">
        <v>928</v>
      </c>
      <c r="E1140" s="14" t="s">
        <v>926</v>
      </c>
      <c r="F1140" s="12" t="s">
        <v>73</v>
      </c>
      <c r="G1140" s="15">
        <v>100</v>
      </c>
      <c r="H1140" s="12" t="s">
        <v>927</v>
      </c>
      <c r="I1140" s="12" t="s">
        <v>509</v>
      </c>
      <c r="K1140" s="16">
        <v>17.12</v>
      </c>
      <c r="L1140" s="16">
        <v>26.43</v>
      </c>
      <c r="M1140" s="16">
        <v>26.27</v>
      </c>
    </row>
    <row r="1141" spans="2:13" ht="22.5" outlineLevel="3" x14ac:dyDescent="0.2">
      <c r="B1141" s="4" t="str">
        <f t="shared" si="42"/>
        <v>0008510100</v>
      </c>
      <c r="C1141" s="5" t="str">
        <f>"405339"</f>
        <v>405339</v>
      </c>
      <c r="D1141" s="12" t="s">
        <v>928</v>
      </c>
      <c r="E1141" s="14" t="s">
        <v>926</v>
      </c>
      <c r="F1141" s="12" t="s">
        <v>73</v>
      </c>
      <c r="G1141" s="15">
        <v>98</v>
      </c>
      <c r="H1141" s="12" t="s">
        <v>927</v>
      </c>
      <c r="I1141" s="12" t="s">
        <v>509</v>
      </c>
      <c r="K1141" s="16">
        <v>17.12</v>
      </c>
      <c r="L1141" s="16">
        <v>26.43</v>
      </c>
      <c r="M1141" s="16">
        <v>26.27</v>
      </c>
    </row>
    <row r="1142" spans="2:13" ht="22.5" outlineLevel="3" x14ac:dyDescent="0.2">
      <c r="B1142" s="4" t="str">
        <f t="shared" si="42"/>
        <v>0008510100</v>
      </c>
      <c r="C1142" s="5" t="str">
        <f>"582739"</f>
        <v>582739</v>
      </c>
      <c r="D1142" s="12" t="s">
        <v>931</v>
      </c>
      <c r="E1142" s="14" t="s">
        <v>926</v>
      </c>
      <c r="F1142" s="12" t="s">
        <v>73</v>
      </c>
      <c r="G1142" s="15">
        <v>98</v>
      </c>
      <c r="H1142" s="12" t="s">
        <v>927</v>
      </c>
      <c r="I1142" s="12" t="s">
        <v>60</v>
      </c>
      <c r="K1142" s="16">
        <v>16</v>
      </c>
      <c r="L1142" s="16">
        <v>24.77</v>
      </c>
      <c r="M1142" s="16">
        <v>26.27</v>
      </c>
    </row>
    <row r="1143" spans="2:13" ht="22.5" outlineLevel="3" x14ac:dyDescent="0.2">
      <c r="B1143" s="4" t="str">
        <f>"0008980030"</f>
        <v>0008980030</v>
      </c>
      <c r="C1143" s="5" t="str">
        <f>"476392"</f>
        <v>476392</v>
      </c>
      <c r="D1143" s="12" t="s">
        <v>928</v>
      </c>
      <c r="E1143" s="14" t="s">
        <v>946</v>
      </c>
      <c r="F1143" s="12" t="s">
        <v>73</v>
      </c>
      <c r="G1143" s="15">
        <v>30</v>
      </c>
      <c r="H1143" s="12" t="s">
        <v>927</v>
      </c>
      <c r="I1143" s="12" t="s">
        <v>509</v>
      </c>
      <c r="K1143" s="16">
        <v>6.74</v>
      </c>
      <c r="L1143" s="16">
        <v>10.75</v>
      </c>
      <c r="M1143" s="16">
        <v>11.53</v>
      </c>
    </row>
    <row r="1144" spans="2:13" ht="22.5" outlineLevel="3" x14ac:dyDescent="0.2">
      <c r="B1144" s="4" t="str">
        <f>"0008980030"</f>
        <v>0008980030</v>
      </c>
      <c r="C1144" s="5" t="str">
        <f>"181652"</f>
        <v>181652</v>
      </c>
      <c r="D1144" s="12" t="s">
        <v>925</v>
      </c>
      <c r="E1144" s="14" t="s">
        <v>946</v>
      </c>
      <c r="F1144" s="12" t="s">
        <v>73</v>
      </c>
      <c r="G1144" s="15">
        <v>28</v>
      </c>
      <c r="H1144" s="12" t="s">
        <v>927</v>
      </c>
      <c r="I1144" s="12" t="s">
        <v>5</v>
      </c>
      <c r="K1144" s="16">
        <v>6.29</v>
      </c>
      <c r="L1144" s="16">
        <v>10.029999999999999</v>
      </c>
      <c r="M1144" s="16">
        <v>11.53</v>
      </c>
    </row>
    <row r="1145" spans="2:13" ht="22.5" outlineLevel="3" x14ac:dyDescent="0.2">
      <c r="B1145" s="4" t="str">
        <f>"0008980100"</f>
        <v>0008980100</v>
      </c>
      <c r="C1145" s="5" t="str">
        <f>"515151"</f>
        <v>515151</v>
      </c>
      <c r="D1145" s="12" t="s">
        <v>928</v>
      </c>
      <c r="E1145" s="14" t="s">
        <v>946</v>
      </c>
      <c r="F1145" s="12" t="s">
        <v>73</v>
      </c>
      <c r="G1145" s="15">
        <v>100</v>
      </c>
      <c r="H1145" s="12" t="s">
        <v>927</v>
      </c>
      <c r="I1145" s="12" t="s">
        <v>509</v>
      </c>
      <c r="K1145" s="16">
        <v>20.239999999999998</v>
      </c>
      <c r="L1145" s="16">
        <v>31.06</v>
      </c>
      <c r="M1145" s="16">
        <v>31.99</v>
      </c>
    </row>
    <row r="1146" spans="2:13" ht="22.5" outlineLevel="3" x14ac:dyDescent="0.2">
      <c r="B1146" s="4" t="str">
        <f>"0008980100"</f>
        <v>0008980100</v>
      </c>
      <c r="C1146" s="5" t="str">
        <f>"005894"</f>
        <v>005894</v>
      </c>
      <c r="D1146" s="12" t="s">
        <v>929</v>
      </c>
      <c r="E1146" s="14" t="s">
        <v>946</v>
      </c>
      <c r="F1146" s="12" t="s">
        <v>73</v>
      </c>
      <c r="G1146" s="15">
        <v>98</v>
      </c>
      <c r="H1146" s="12" t="s">
        <v>927</v>
      </c>
      <c r="I1146" s="12" t="s">
        <v>374</v>
      </c>
      <c r="K1146" s="16">
        <v>19.850000000000001</v>
      </c>
      <c r="L1146" s="16">
        <v>30.49</v>
      </c>
      <c r="M1146" s="16">
        <v>31.99</v>
      </c>
    </row>
    <row r="1147" spans="2:13" ht="22.5" outlineLevel="3" x14ac:dyDescent="0.2">
      <c r="B1147" s="4" t="str">
        <f>"0008980100"</f>
        <v>0008980100</v>
      </c>
      <c r="C1147" s="5" t="str">
        <f>"013479"</f>
        <v>013479</v>
      </c>
      <c r="D1147" s="12" t="s">
        <v>930</v>
      </c>
      <c r="E1147" s="14" t="s">
        <v>946</v>
      </c>
      <c r="F1147" s="12" t="s">
        <v>73</v>
      </c>
      <c r="G1147" s="15">
        <v>98</v>
      </c>
      <c r="H1147" s="12" t="s">
        <v>927</v>
      </c>
      <c r="I1147" s="12" t="s">
        <v>325</v>
      </c>
      <c r="K1147" s="16">
        <v>19.850000000000001</v>
      </c>
      <c r="L1147" s="16">
        <v>30.49</v>
      </c>
      <c r="M1147" s="16">
        <v>31.99</v>
      </c>
    </row>
    <row r="1148" spans="2:13" ht="22.5" outlineLevel="3" x14ac:dyDescent="0.2">
      <c r="B1148" s="4" t="str">
        <f>"0008980100"</f>
        <v>0008980100</v>
      </c>
      <c r="C1148" s="5" t="str">
        <f>"096038"</f>
        <v>096038</v>
      </c>
      <c r="D1148" s="12" t="s">
        <v>925</v>
      </c>
      <c r="E1148" s="14" t="s">
        <v>946</v>
      </c>
      <c r="F1148" s="12" t="s">
        <v>73</v>
      </c>
      <c r="G1148" s="15">
        <v>98</v>
      </c>
      <c r="H1148" s="12" t="s">
        <v>927</v>
      </c>
      <c r="I1148" s="12" t="s">
        <v>5</v>
      </c>
      <c r="K1148" s="16">
        <v>19.850000000000001</v>
      </c>
      <c r="L1148" s="16">
        <v>30.49</v>
      </c>
      <c r="M1148" s="16">
        <v>31.99</v>
      </c>
    </row>
    <row r="1149" spans="2:13" outlineLevel="2" x14ac:dyDescent="0.2"/>
    <row r="1150" spans="2:13" ht="22.5" outlineLevel="3" x14ac:dyDescent="0.2">
      <c r="B1150" s="4" t="str">
        <f>"0010770030"</f>
        <v>0010770030</v>
      </c>
      <c r="C1150" s="5" t="str">
        <f>"391984"</f>
        <v>391984</v>
      </c>
      <c r="D1150" s="12" t="s">
        <v>928</v>
      </c>
      <c r="E1150" s="14" t="s">
        <v>1082</v>
      </c>
      <c r="F1150" s="12" t="s">
        <v>73</v>
      </c>
      <c r="G1150" s="15">
        <v>30</v>
      </c>
      <c r="H1150" s="12" t="s">
        <v>927</v>
      </c>
      <c r="I1150" s="12" t="s">
        <v>509</v>
      </c>
      <c r="K1150" s="16">
        <v>8.49</v>
      </c>
      <c r="L1150" s="16">
        <v>13.54</v>
      </c>
      <c r="M1150" s="16">
        <v>14.13</v>
      </c>
    </row>
    <row r="1151" spans="2:13" ht="22.5" outlineLevel="3" x14ac:dyDescent="0.2">
      <c r="B1151" s="4" t="str">
        <f>"0010770030"</f>
        <v>0010770030</v>
      </c>
      <c r="C1151" s="5" t="str">
        <f>"446347"</f>
        <v>446347</v>
      </c>
      <c r="D1151" s="12" t="s">
        <v>925</v>
      </c>
      <c r="E1151" s="14" t="s">
        <v>1082</v>
      </c>
      <c r="F1151" s="12" t="s">
        <v>73</v>
      </c>
      <c r="G1151" s="15">
        <v>28</v>
      </c>
      <c r="H1151" s="12" t="s">
        <v>927</v>
      </c>
      <c r="I1151" s="12" t="s">
        <v>5</v>
      </c>
      <c r="K1151" s="16">
        <v>7.92</v>
      </c>
      <c r="L1151" s="16">
        <v>12.63</v>
      </c>
      <c r="M1151" s="16">
        <v>14.13</v>
      </c>
    </row>
    <row r="1152" spans="2:13" outlineLevel="2" x14ac:dyDescent="0.2"/>
    <row r="1153" spans="1:13" ht="22.5" outlineLevel="3" x14ac:dyDescent="0.2">
      <c r="B1153" s="4" t="str">
        <f>"0010770100"</f>
        <v>0010770100</v>
      </c>
      <c r="C1153" s="5" t="str">
        <f>"136450"</f>
        <v>136450</v>
      </c>
      <c r="D1153" s="12" t="s">
        <v>930</v>
      </c>
      <c r="E1153" s="14" t="s">
        <v>1082</v>
      </c>
      <c r="F1153" s="12" t="s">
        <v>73</v>
      </c>
      <c r="G1153" s="15">
        <v>98</v>
      </c>
      <c r="H1153" s="12" t="s">
        <v>927</v>
      </c>
      <c r="I1153" s="12" t="s">
        <v>325</v>
      </c>
      <c r="K1153" s="16">
        <v>24.97</v>
      </c>
      <c r="L1153" s="16">
        <v>38.090000000000003</v>
      </c>
      <c r="M1153" s="16">
        <v>35.93</v>
      </c>
    </row>
    <row r="1154" spans="1:13" ht="22.5" outlineLevel="3" x14ac:dyDescent="0.2">
      <c r="B1154" s="4" t="str">
        <f>"0010770100"</f>
        <v>0010770100</v>
      </c>
      <c r="C1154" s="5" t="str">
        <f>"125475"</f>
        <v>125475</v>
      </c>
      <c r="D1154" s="12" t="s">
        <v>929</v>
      </c>
      <c r="E1154" s="14" t="s">
        <v>1082</v>
      </c>
      <c r="F1154" s="12" t="s">
        <v>73</v>
      </c>
      <c r="G1154" s="15">
        <v>98</v>
      </c>
      <c r="H1154" s="12" t="s">
        <v>927</v>
      </c>
      <c r="I1154" s="12" t="s">
        <v>374</v>
      </c>
      <c r="K1154" s="16">
        <v>23.51</v>
      </c>
      <c r="L1154" s="16">
        <v>35.93</v>
      </c>
      <c r="M1154" s="16">
        <v>35.93</v>
      </c>
    </row>
    <row r="1155" spans="1:13" ht="22.5" outlineLevel="3" x14ac:dyDescent="0.2">
      <c r="B1155" s="4" t="str">
        <f>"0010770100"</f>
        <v>0010770100</v>
      </c>
      <c r="C1155" s="5" t="str">
        <f>"461592"</f>
        <v>461592</v>
      </c>
      <c r="D1155" s="12" t="s">
        <v>925</v>
      </c>
      <c r="E1155" s="14" t="s">
        <v>1082</v>
      </c>
      <c r="F1155" s="12" t="s">
        <v>73</v>
      </c>
      <c r="G1155" s="15">
        <v>98</v>
      </c>
      <c r="H1155" s="12" t="s">
        <v>927</v>
      </c>
      <c r="I1155" s="12" t="s">
        <v>5</v>
      </c>
      <c r="K1155" s="16">
        <v>23.51</v>
      </c>
      <c r="L1155" s="16">
        <v>35.93</v>
      </c>
      <c r="M1155" s="16">
        <v>35.93</v>
      </c>
    </row>
    <row r="1156" spans="1:13" ht="22.5" outlineLevel="3" x14ac:dyDescent="0.2">
      <c r="B1156" s="4" t="str">
        <f>"0010770100"</f>
        <v>0010770100</v>
      </c>
      <c r="C1156" s="5" t="str">
        <f>"484388"</f>
        <v>484388</v>
      </c>
      <c r="D1156" s="12" t="s">
        <v>928</v>
      </c>
      <c r="E1156" s="14" t="s">
        <v>1082</v>
      </c>
      <c r="F1156" s="12" t="s">
        <v>73</v>
      </c>
      <c r="G1156" s="15">
        <v>100</v>
      </c>
      <c r="H1156" s="12" t="s">
        <v>927</v>
      </c>
      <c r="I1156" s="12" t="s">
        <v>509</v>
      </c>
      <c r="K1156" s="16">
        <v>22.5</v>
      </c>
      <c r="L1156" s="16">
        <v>34.43</v>
      </c>
      <c r="M1156" s="16">
        <v>35.93</v>
      </c>
    </row>
    <row r="1157" spans="1:13" outlineLevel="1" x14ac:dyDescent="0.2">
      <c r="A1157" s="3"/>
    </row>
    <row r="1158" spans="1:13" outlineLevel="2" x14ac:dyDescent="0.2">
      <c r="A1158" s="3" t="s">
        <v>1456</v>
      </c>
    </row>
    <row r="1159" spans="1:13" ht="33.75" outlineLevel="3" x14ac:dyDescent="0.2">
      <c r="B1159" s="4" t="str">
        <f>"0001320030"</f>
        <v>0001320030</v>
      </c>
      <c r="C1159" s="5" t="str">
        <f>"023683"</f>
        <v>023683</v>
      </c>
      <c r="D1159" s="12" t="s">
        <v>203</v>
      </c>
      <c r="E1159" s="14" t="s">
        <v>82</v>
      </c>
      <c r="F1159" s="12" t="s">
        <v>3</v>
      </c>
      <c r="G1159" s="15">
        <v>30</v>
      </c>
      <c r="H1159" s="12" t="s">
        <v>200</v>
      </c>
      <c r="I1159" s="12" t="s">
        <v>30</v>
      </c>
      <c r="K1159" s="16">
        <v>7.17</v>
      </c>
      <c r="L1159" s="16">
        <v>11.44</v>
      </c>
      <c r="M1159" s="16">
        <v>12.19</v>
      </c>
    </row>
    <row r="1160" spans="1:13" ht="33.75" outlineLevel="3" x14ac:dyDescent="0.2">
      <c r="B1160" s="4" t="str">
        <f>"0001320030"</f>
        <v>0001320030</v>
      </c>
      <c r="C1160" s="5" t="str">
        <f>"454124"</f>
        <v>454124</v>
      </c>
      <c r="D1160" s="12" t="s">
        <v>199</v>
      </c>
      <c r="E1160" s="14" t="s">
        <v>82</v>
      </c>
      <c r="F1160" s="12" t="s">
        <v>3</v>
      </c>
      <c r="G1160" s="15">
        <v>28</v>
      </c>
      <c r="H1160" s="12" t="s">
        <v>200</v>
      </c>
      <c r="I1160" s="12" t="s">
        <v>170</v>
      </c>
      <c r="J1160" s="2" t="s">
        <v>1400</v>
      </c>
      <c r="K1160" s="16">
        <v>6.7</v>
      </c>
      <c r="L1160" s="16">
        <v>10.69</v>
      </c>
      <c r="M1160" s="16">
        <v>12.19</v>
      </c>
    </row>
    <row r="1161" spans="1:13" ht="33.75" outlineLevel="3" x14ac:dyDescent="0.2">
      <c r="B1161" s="4" t="str">
        <f>"0001320030"</f>
        <v>0001320030</v>
      </c>
      <c r="C1161" s="5" t="str">
        <f>"003596"</f>
        <v>003596</v>
      </c>
      <c r="D1161" s="12" t="s">
        <v>201</v>
      </c>
      <c r="E1161" s="14" t="s">
        <v>82</v>
      </c>
      <c r="F1161" s="12" t="s">
        <v>3</v>
      </c>
      <c r="G1161" s="15">
        <v>30</v>
      </c>
      <c r="H1161" s="12" t="s">
        <v>200</v>
      </c>
      <c r="I1161" s="12" t="s">
        <v>70</v>
      </c>
      <c r="K1161" s="16">
        <v>6.7</v>
      </c>
      <c r="L1161" s="16">
        <v>10.69</v>
      </c>
      <c r="M1161" s="16">
        <v>12.19</v>
      </c>
    </row>
    <row r="1162" spans="1:13" ht="33.75" outlineLevel="3" x14ac:dyDescent="0.2">
      <c r="B1162" s="4" t="str">
        <f>"0001320030"</f>
        <v>0001320030</v>
      </c>
      <c r="C1162" s="5" t="str">
        <f>"010908"</f>
        <v>010908</v>
      </c>
      <c r="D1162" s="12" t="s">
        <v>202</v>
      </c>
      <c r="E1162" s="14" t="s">
        <v>82</v>
      </c>
      <c r="F1162" s="12" t="s">
        <v>3</v>
      </c>
      <c r="G1162" s="15">
        <v>28</v>
      </c>
      <c r="H1162" s="12" t="s">
        <v>200</v>
      </c>
      <c r="I1162" s="12" t="s">
        <v>5</v>
      </c>
      <c r="K1162" s="16">
        <v>6.7</v>
      </c>
      <c r="L1162" s="16">
        <v>10.69</v>
      </c>
      <c r="M1162" s="16">
        <v>12.19</v>
      </c>
    </row>
    <row r="1163" spans="1:13" ht="33.75" outlineLevel="3" x14ac:dyDescent="0.2">
      <c r="B1163" s="4" t="str">
        <f>"0001320030"</f>
        <v>0001320030</v>
      </c>
      <c r="C1163" s="5" t="str">
        <f>"059942"</f>
        <v>059942</v>
      </c>
      <c r="D1163" s="12" t="s">
        <v>204</v>
      </c>
      <c r="E1163" s="14" t="s">
        <v>82</v>
      </c>
      <c r="F1163" s="12" t="s">
        <v>3</v>
      </c>
      <c r="G1163" s="15">
        <v>28</v>
      </c>
      <c r="H1163" s="12" t="s">
        <v>200</v>
      </c>
      <c r="I1163" s="12" t="s">
        <v>104</v>
      </c>
      <c r="K1163" s="16">
        <v>6.7</v>
      </c>
      <c r="L1163" s="16">
        <v>10.69</v>
      </c>
      <c r="M1163" s="16">
        <v>12.19</v>
      </c>
    </row>
    <row r="1164" spans="1:13" outlineLevel="2" x14ac:dyDescent="0.2"/>
    <row r="1165" spans="1:13" ht="33.75" outlineLevel="3" x14ac:dyDescent="0.2">
      <c r="B1165" s="4" t="str">
        <f t="shared" ref="B1165:B1171" si="43">"0001320100"</f>
        <v>0001320100</v>
      </c>
      <c r="C1165" s="5" t="str">
        <f>"023661"</f>
        <v>023661</v>
      </c>
      <c r="D1165" s="12" t="s">
        <v>203</v>
      </c>
      <c r="E1165" s="14" t="s">
        <v>82</v>
      </c>
      <c r="F1165" s="12" t="s">
        <v>3</v>
      </c>
      <c r="G1165" s="15" t="s">
        <v>123</v>
      </c>
      <c r="H1165" s="12" t="s">
        <v>200</v>
      </c>
      <c r="I1165" s="12" t="s">
        <v>30</v>
      </c>
      <c r="K1165" s="16">
        <v>19.079999999999998</v>
      </c>
      <c r="L1165" s="16">
        <v>29.35</v>
      </c>
      <c r="M1165" s="16">
        <v>30.29</v>
      </c>
    </row>
    <row r="1166" spans="1:13" ht="33.75" outlineLevel="3" x14ac:dyDescent="0.2">
      <c r="B1166" s="4" t="str">
        <f t="shared" si="43"/>
        <v>0001320100</v>
      </c>
      <c r="C1166" s="5" t="str">
        <f>"189895"</f>
        <v>189895</v>
      </c>
      <c r="D1166" s="12" t="s">
        <v>204</v>
      </c>
      <c r="E1166" s="14" t="s">
        <v>82</v>
      </c>
      <c r="F1166" s="12" t="s">
        <v>3</v>
      </c>
      <c r="G1166" s="15">
        <v>100</v>
      </c>
      <c r="H1166" s="12" t="s">
        <v>200</v>
      </c>
      <c r="I1166" s="12" t="s">
        <v>104</v>
      </c>
      <c r="K1166" s="16">
        <v>19.079999999999998</v>
      </c>
      <c r="L1166" s="16">
        <v>29.35</v>
      </c>
      <c r="M1166" s="16">
        <v>30.29</v>
      </c>
    </row>
    <row r="1167" spans="1:13" ht="33.75" outlineLevel="3" x14ac:dyDescent="0.2">
      <c r="B1167" s="4" t="str">
        <f t="shared" si="43"/>
        <v>0001320100</v>
      </c>
      <c r="C1167" s="5" t="str">
        <f>"003607"</f>
        <v>003607</v>
      </c>
      <c r="D1167" s="12" t="s">
        <v>201</v>
      </c>
      <c r="E1167" s="14" t="s">
        <v>82</v>
      </c>
      <c r="F1167" s="12" t="s">
        <v>3</v>
      </c>
      <c r="G1167" s="15">
        <v>100</v>
      </c>
      <c r="H1167" s="12" t="s">
        <v>200</v>
      </c>
      <c r="I1167" s="12" t="s">
        <v>70</v>
      </c>
      <c r="K1167" s="16">
        <v>18.7</v>
      </c>
      <c r="L1167" s="16">
        <v>28.79</v>
      </c>
      <c r="M1167" s="16">
        <v>30.29</v>
      </c>
    </row>
    <row r="1168" spans="1:13" ht="33.75" outlineLevel="3" x14ac:dyDescent="0.2">
      <c r="B1168" s="4" t="str">
        <f t="shared" si="43"/>
        <v>0001320100</v>
      </c>
      <c r="C1168" s="5" t="str">
        <f>"010940"</f>
        <v>010940</v>
      </c>
      <c r="D1168" s="12" t="s">
        <v>202</v>
      </c>
      <c r="E1168" s="14" t="s">
        <v>82</v>
      </c>
      <c r="F1168" s="12" t="s">
        <v>3</v>
      </c>
      <c r="G1168" s="15">
        <v>98</v>
      </c>
      <c r="H1168" s="12" t="s">
        <v>200</v>
      </c>
      <c r="I1168" s="12" t="s">
        <v>5</v>
      </c>
      <c r="K1168" s="16">
        <v>18.7</v>
      </c>
      <c r="L1168" s="16">
        <v>28.79</v>
      </c>
      <c r="M1168" s="16">
        <v>30.29</v>
      </c>
    </row>
    <row r="1169" spans="2:13" ht="33.75" outlineLevel="3" x14ac:dyDescent="0.2">
      <c r="B1169" s="4" t="str">
        <f t="shared" si="43"/>
        <v>0001320100</v>
      </c>
      <c r="C1169" s="5" t="str">
        <f>"021140"</f>
        <v>021140</v>
      </c>
      <c r="D1169" s="12" t="s">
        <v>205</v>
      </c>
      <c r="E1169" s="14" t="s">
        <v>82</v>
      </c>
      <c r="F1169" s="12" t="s">
        <v>3</v>
      </c>
      <c r="G1169" s="15">
        <v>98</v>
      </c>
      <c r="H1169" s="12" t="s">
        <v>200</v>
      </c>
      <c r="I1169" s="12" t="s">
        <v>68</v>
      </c>
      <c r="K1169" s="16">
        <v>18.7</v>
      </c>
      <c r="L1169" s="16">
        <v>28.79</v>
      </c>
      <c r="M1169" s="16">
        <v>30.29</v>
      </c>
    </row>
    <row r="1170" spans="2:13" ht="33.75" outlineLevel="3" x14ac:dyDescent="0.2">
      <c r="B1170" s="4" t="str">
        <f t="shared" si="43"/>
        <v>0001320100</v>
      </c>
      <c r="C1170" s="5" t="str">
        <f>"059951"</f>
        <v>059951</v>
      </c>
      <c r="D1170" s="12" t="s">
        <v>204</v>
      </c>
      <c r="E1170" s="14" t="s">
        <v>82</v>
      </c>
      <c r="F1170" s="12" t="s">
        <v>3</v>
      </c>
      <c r="G1170" s="15">
        <v>98</v>
      </c>
      <c r="H1170" s="12" t="s">
        <v>200</v>
      </c>
      <c r="I1170" s="12" t="s">
        <v>104</v>
      </c>
      <c r="K1170" s="16">
        <v>18.7</v>
      </c>
      <c r="L1170" s="16">
        <v>28.79</v>
      </c>
      <c r="M1170" s="16">
        <v>30.29</v>
      </c>
    </row>
    <row r="1171" spans="2:13" ht="33.75" outlineLevel="3" x14ac:dyDescent="0.2">
      <c r="B1171" s="4" t="str">
        <f t="shared" si="43"/>
        <v>0001320100</v>
      </c>
      <c r="C1171" s="5" t="str">
        <f>"454165"</f>
        <v>454165</v>
      </c>
      <c r="D1171" s="12" t="s">
        <v>199</v>
      </c>
      <c r="E1171" s="14" t="s">
        <v>82</v>
      </c>
      <c r="F1171" s="12" t="s">
        <v>3</v>
      </c>
      <c r="G1171" s="15">
        <v>98</v>
      </c>
      <c r="H1171" s="12" t="s">
        <v>200</v>
      </c>
      <c r="I1171" s="12" t="s">
        <v>170</v>
      </c>
      <c r="K1171" s="16">
        <v>18.7</v>
      </c>
      <c r="L1171" s="16">
        <v>28.79</v>
      </c>
      <c r="M1171" s="16">
        <v>30.29</v>
      </c>
    </row>
    <row r="1172" spans="2:13" outlineLevel="2" x14ac:dyDescent="0.2"/>
    <row r="1173" spans="2:13" ht="33.75" outlineLevel="3" x14ac:dyDescent="0.2">
      <c r="B1173" s="4" t="str">
        <f>"0001330030"</f>
        <v>0001330030</v>
      </c>
      <c r="C1173" s="5" t="str">
        <f>"023674"</f>
        <v>023674</v>
      </c>
      <c r="D1173" s="12" t="s">
        <v>203</v>
      </c>
      <c r="E1173" s="14" t="s">
        <v>14</v>
      </c>
      <c r="F1173" s="12" t="s">
        <v>3</v>
      </c>
      <c r="G1173" s="15">
        <v>30</v>
      </c>
      <c r="H1173" s="12" t="s">
        <v>200</v>
      </c>
      <c r="I1173" s="12" t="s">
        <v>30</v>
      </c>
      <c r="K1173" s="16">
        <v>10.17</v>
      </c>
      <c r="L1173" s="16">
        <v>16.12</v>
      </c>
      <c r="M1173" s="16">
        <v>16.63</v>
      </c>
    </row>
    <row r="1174" spans="2:13" ht="33.75" outlineLevel="3" x14ac:dyDescent="0.2">
      <c r="B1174" s="4" t="str">
        <f>"0001330030"</f>
        <v>0001330030</v>
      </c>
      <c r="C1174" s="5" t="str">
        <f>"454173"</f>
        <v>454173</v>
      </c>
      <c r="D1174" s="12" t="s">
        <v>199</v>
      </c>
      <c r="E1174" s="14" t="s">
        <v>14</v>
      </c>
      <c r="F1174" s="12" t="s">
        <v>3</v>
      </c>
      <c r="G1174" s="15">
        <v>28</v>
      </c>
      <c r="H1174" s="12" t="s">
        <v>200</v>
      </c>
      <c r="I1174" s="12" t="s">
        <v>170</v>
      </c>
      <c r="J1174" s="2" t="s">
        <v>1400</v>
      </c>
      <c r="K1174" s="16">
        <v>9.5</v>
      </c>
      <c r="L1174" s="16">
        <v>15.13</v>
      </c>
      <c r="M1174" s="16">
        <v>16.63</v>
      </c>
    </row>
    <row r="1175" spans="2:13" ht="33.75" outlineLevel="3" x14ac:dyDescent="0.2">
      <c r="B1175" s="4" t="str">
        <f>"0001330030"</f>
        <v>0001330030</v>
      </c>
      <c r="C1175" s="5" t="str">
        <f>"003618"</f>
        <v>003618</v>
      </c>
      <c r="D1175" s="12" t="s">
        <v>201</v>
      </c>
      <c r="E1175" s="14" t="s">
        <v>14</v>
      </c>
      <c r="F1175" s="12" t="s">
        <v>3</v>
      </c>
      <c r="G1175" s="15">
        <v>30</v>
      </c>
      <c r="H1175" s="12" t="s">
        <v>200</v>
      </c>
      <c r="I1175" s="12" t="s">
        <v>70</v>
      </c>
      <c r="K1175" s="16">
        <v>9.5</v>
      </c>
      <c r="L1175" s="16">
        <v>15.13</v>
      </c>
      <c r="M1175" s="16">
        <v>16.63</v>
      </c>
    </row>
    <row r="1176" spans="2:13" ht="33.75" outlineLevel="3" x14ac:dyDescent="0.2">
      <c r="B1176" s="4" t="str">
        <f>"0001330030"</f>
        <v>0001330030</v>
      </c>
      <c r="C1176" s="5" t="str">
        <f>"010955"</f>
        <v>010955</v>
      </c>
      <c r="D1176" s="12" t="s">
        <v>202</v>
      </c>
      <c r="E1176" s="14" t="s">
        <v>14</v>
      </c>
      <c r="F1176" s="12" t="s">
        <v>3</v>
      </c>
      <c r="G1176" s="15">
        <v>28</v>
      </c>
      <c r="H1176" s="12" t="s">
        <v>200</v>
      </c>
      <c r="I1176" s="12" t="s">
        <v>5</v>
      </c>
      <c r="K1176" s="16">
        <v>9.5</v>
      </c>
      <c r="L1176" s="16">
        <v>15.13</v>
      </c>
      <c r="M1176" s="16">
        <v>16.63</v>
      </c>
    </row>
    <row r="1177" spans="2:13" ht="33.75" outlineLevel="3" x14ac:dyDescent="0.2">
      <c r="B1177" s="4" t="str">
        <f>"0001330030"</f>
        <v>0001330030</v>
      </c>
      <c r="C1177" s="5" t="str">
        <f>"059960"</f>
        <v>059960</v>
      </c>
      <c r="D1177" s="12" t="s">
        <v>204</v>
      </c>
      <c r="E1177" s="14" t="s">
        <v>14</v>
      </c>
      <c r="F1177" s="12" t="s">
        <v>3</v>
      </c>
      <c r="G1177" s="15">
        <v>28</v>
      </c>
      <c r="H1177" s="12" t="s">
        <v>200</v>
      </c>
      <c r="I1177" s="12" t="s">
        <v>104</v>
      </c>
      <c r="K1177" s="16">
        <v>9.5</v>
      </c>
      <c r="L1177" s="16">
        <v>15.13</v>
      </c>
      <c r="M1177" s="16">
        <v>16.63</v>
      </c>
    </row>
    <row r="1178" spans="2:13" ht="33.75" outlineLevel="3" x14ac:dyDescent="0.2">
      <c r="B1178" s="4" t="str">
        <f t="shared" ref="B1178:B1184" si="44">"0001330100"</f>
        <v>0001330100</v>
      </c>
      <c r="C1178" s="5" t="str">
        <f>"454199"</f>
        <v>454199</v>
      </c>
      <c r="D1178" s="12" t="s">
        <v>199</v>
      </c>
      <c r="E1178" s="14" t="s">
        <v>14</v>
      </c>
      <c r="F1178" s="12" t="s">
        <v>3</v>
      </c>
      <c r="G1178" s="15">
        <v>98</v>
      </c>
      <c r="H1178" s="12" t="s">
        <v>200</v>
      </c>
      <c r="I1178" s="12" t="s">
        <v>170</v>
      </c>
      <c r="K1178" s="16">
        <v>29.81</v>
      </c>
      <c r="L1178" s="16">
        <v>45.28</v>
      </c>
      <c r="M1178" s="16">
        <v>33.5</v>
      </c>
    </row>
    <row r="1179" spans="2:13" ht="33.75" outlineLevel="3" x14ac:dyDescent="0.2">
      <c r="B1179" s="4" t="str">
        <f t="shared" si="44"/>
        <v>0001330100</v>
      </c>
      <c r="C1179" s="5" t="str">
        <f>"003631"</f>
        <v>003631</v>
      </c>
      <c r="D1179" s="12" t="s">
        <v>201</v>
      </c>
      <c r="E1179" s="14" t="s">
        <v>14</v>
      </c>
      <c r="F1179" s="12" t="s">
        <v>3</v>
      </c>
      <c r="G1179" s="15">
        <v>100</v>
      </c>
      <c r="H1179" s="12" t="s">
        <v>200</v>
      </c>
      <c r="I1179" s="12" t="s">
        <v>70</v>
      </c>
      <c r="K1179" s="16">
        <v>20.87</v>
      </c>
      <c r="L1179" s="16">
        <v>32</v>
      </c>
      <c r="M1179" s="16">
        <v>33.5</v>
      </c>
    </row>
    <row r="1180" spans="2:13" ht="33.75" outlineLevel="3" x14ac:dyDescent="0.2">
      <c r="B1180" s="4" t="str">
        <f t="shared" si="44"/>
        <v>0001330100</v>
      </c>
      <c r="C1180" s="5" t="str">
        <f>"010966"</f>
        <v>010966</v>
      </c>
      <c r="D1180" s="12" t="s">
        <v>202</v>
      </c>
      <c r="E1180" s="14" t="s">
        <v>14</v>
      </c>
      <c r="F1180" s="12" t="s">
        <v>3</v>
      </c>
      <c r="G1180" s="15">
        <v>98</v>
      </c>
      <c r="H1180" s="12" t="s">
        <v>200</v>
      </c>
      <c r="I1180" s="12" t="s">
        <v>5</v>
      </c>
      <c r="K1180" s="16">
        <v>20.87</v>
      </c>
      <c r="L1180" s="16">
        <v>32</v>
      </c>
      <c r="M1180" s="16">
        <v>33.5</v>
      </c>
    </row>
    <row r="1181" spans="2:13" ht="33.75" outlineLevel="3" x14ac:dyDescent="0.2">
      <c r="B1181" s="4" t="str">
        <f t="shared" si="44"/>
        <v>0001330100</v>
      </c>
      <c r="C1181" s="5" t="str">
        <f>"021192"</f>
        <v>021192</v>
      </c>
      <c r="D1181" s="12" t="s">
        <v>205</v>
      </c>
      <c r="E1181" s="14" t="s">
        <v>14</v>
      </c>
      <c r="F1181" s="12" t="s">
        <v>3</v>
      </c>
      <c r="G1181" s="15">
        <v>98</v>
      </c>
      <c r="H1181" s="12" t="s">
        <v>200</v>
      </c>
      <c r="I1181" s="12" t="s">
        <v>68</v>
      </c>
      <c r="K1181" s="16">
        <v>20.87</v>
      </c>
      <c r="L1181" s="16">
        <v>32</v>
      </c>
      <c r="M1181" s="16">
        <v>33.5</v>
      </c>
    </row>
    <row r="1182" spans="2:13" ht="33.75" outlineLevel="3" x14ac:dyDescent="0.2">
      <c r="B1182" s="4" t="str">
        <f t="shared" si="44"/>
        <v>0001330100</v>
      </c>
      <c r="C1182" s="5" t="str">
        <f>"023685"</f>
        <v>023685</v>
      </c>
      <c r="D1182" s="12" t="s">
        <v>203</v>
      </c>
      <c r="E1182" s="14" t="s">
        <v>14</v>
      </c>
      <c r="F1182" s="12" t="s">
        <v>3</v>
      </c>
      <c r="G1182" s="15" t="s">
        <v>123</v>
      </c>
      <c r="H1182" s="12" t="s">
        <v>200</v>
      </c>
      <c r="I1182" s="12" t="s">
        <v>30</v>
      </c>
      <c r="K1182" s="16">
        <v>20.87</v>
      </c>
      <c r="L1182" s="16">
        <v>32</v>
      </c>
      <c r="M1182" s="16">
        <v>33.5</v>
      </c>
    </row>
    <row r="1183" spans="2:13" ht="33.75" outlineLevel="3" x14ac:dyDescent="0.2">
      <c r="B1183" s="4" t="str">
        <f t="shared" si="44"/>
        <v>0001330100</v>
      </c>
      <c r="C1183" s="5" t="str">
        <f>"059969"</f>
        <v>059969</v>
      </c>
      <c r="D1183" s="12" t="s">
        <v>204</v>
      </c>
      <c r="E1183" s="14" t="s">
        <v>14</v>
      </c>
      <c r="F1183" s="12" t="s">
        <v>3</v>
      </c>
      <c r="G1183" s="15">
        <v>98</v>
      </c>
      <c r="H1183" s="12" t="s">
        <v>200</v>
      </c>
      <c r="I1183" s="12" t="s">
        <v>104</v>
      </c>
      <c r="K1183" s="16">
        <v>20.87</v>
      </c>
      <c r="L1183" s="16">
        <v>32</v>
      </c>
      <c r="M1183" s="16">
        <v>33.5</v>
      </c>
    </row>
    <row r="1184" spans="2:13" ht="33.75" outlineLevel="3" x14ac:dyDescent="0.2">
      <c r="B1184" s="4" t="str">
        <f t="shared" si="44"/>
        <v>0001330100</v>
      </c>
      <c r="C1184" s="5" t="str">
        <f>"592759"</f>
        <v>592759</v>
      </c>
      <c r="D1184" s="12" t="s">
        <v>204</v>
      </c>
      <c r="E1184" s="14" t="s">
        <v>14</v>
      </c>
      <c r="F1184" s="12" t="s">
        <v>3</v>
      </c>
      <c r="G1184" s="15">
        <v>100</v>
      </c>
      <c r="H1184" s="12" t="s">
        <v>200</v>
      </c>
      <c r="I1184" s="12" t="s">
        <v>104</v>
      </c>
      <c r="K1184" s="16">
        <v>20.87</v>
      </c>
      <c r="L1184" s="16">
        <v>32</v>
      </c>
      <c r="M1184" s="16">
        <v>33.5</v>
      </c>
    </row>
    <row r="1185" spans="2:13" outlineLevel="2" x14ac:dyDescent="0.2"/>
    <row r="1186" spans="2:13" ht="33.75" outlineLevel="3" x14ac:dyDescent="0.2">
      <c r="B1186" s="4" t="str">
        <f>"0001350030"</f>
        <v>0001350030</v>
      </c>
      <c r="C1186" s="5" t="str">
        <f>"023726"</f>
        <v>023726</v>
      </c>
      <c r="D1186" s="12" t="s">
        <v>203</v>
      </c>
      <c r="E1186" s="14" t="s">
        <v>98</v>
      </c>
      <c r="F1186" s="12" t="s">
        <v>3</v>
      </c>
      <c r="G1186" s="15">
        <v>30</v>
      </c>
      <c r="H1186" s="12" t="s">
        <v>200</v>
      </c>
      <c r="I1186" s="12" t="s">
        <v>30</v>
      </c>
      <c r="K1186" s="16">
        <v>18.05</v>
      </c>
      <c r="L1186" s="16">
        <v>27.82</v>
      </c>
      <c r="M1186" s="16">
        <v>28.04</v>
      </c>
    </row>
    <row r="1187" spans="2:13" ht="33.75" outlineLevel="3" x14ac:dyDescent="0.2">
      <c r="B1187" s="4" t="str">
        <f>"0001350030"</f>
        <v>0001350030</v>
      </c>
      <c r="C1187" s="5" t="str">
        <f>"382515"</f>
        <v>382515</v>
      </c>
      <c r="D1187" s="12" t="s">
        <v>199</v>
      </c>
      <c r="E1187" s="14" t="s">
        <v>98</v>
      </c>
      <c r="F1187" s="12" t="s">
        <v>3</v>
      </c>
      <c r="G1187" s="15">
        <v>28</v>
      </c>
      <c r="H1187" s="12" t="s">
        <v>200</v>
      </c>
      <c r="I1187" s="12" t="s">
        <v>170</v>
      </c>
      <c r="J1187" s="2" t="s">
        <v>1400</v>
      </c>
      <c r="K1187" s="16">
        <v>17.190000000000001</v>
      </c>
      <c r="L1187" s="16">
        <v>26.54</v>
      </c>
      <c r="M1187" s="16">
        <v>28.04</v>
      </c>
    </row>
    <row r="1188" spans="2:13" ht="33.75" outlineLevel="3" x14ac:dyDescent="0.2">
      <c r="B1188" s="4" t="str">
        <f>"0001350030"</f>
        <v>0001350030</v>
      </c>
      <c r="C1188" s="5" t="str">
        <f>"010988"</f>
        <v>010988</v>
      </c>
      <c r="D1188" s="12" t="s">
        <v>202</v>
      </c>
      <c r="E1188" s="14" t="s">
        <v>98</v>
      </c>
      <c r="F1188" s="12" t="s">
        <v>3</v>
      </c>
      <c r="G1188" s="15">
        <v>28</v>
      </c>
      <c r="H1188" s="12" t="s">
        <v>200</v>
      </c>
      <c r="I1188" s="12" t="s">
        <v>5</v>
      </c>
      <c r="K1188" s="16">
        <v>17.190000000000001</v>
      </c>
      <c r="L1188" s="16">
        <v>26.54</v>
      </c>
      <c r="M1188" s="16">
        <v>28.04</v>
      </c>
    </row>
    <row r="1189" spans="2:13" ht="33.75" outlineLevel="3" x14ac:dyDescent="0.2">
      <c r="B1189" s="4" t="str">
        <f>"0001350030"</f>
        <v>0001350030</v>
      </c>
      <c r="C1189" s="5" t="str">
        <f>"059978"</f>
        <v>059978</v>
      </c>
      <c r="D1189" s="12" t="s">
        <v>204</v>
      </c>
      <c r="E1189" s="14" t="s">
        <v>98</v>
      </c>
      <c r="F1189" s="12" t="s">
        <v>3</v>
      </c>
      <c r="G1189" s="15">
        <v>28</v>
      </c>
      <c r="H1189" s="12" t="s">
        <v>200</v>
      </c>
      <c r="I1189" s="12" t="s">
        <v>104</v>
      </c>
      <c r="K1189" s="16">
        <v>17.190000000000001</v>
      </c>
      <c r="L1189" s="16">
        <v>26.54</v>
      </c>
      <c r="M1189" s="16">
        <v>28.04</v>
      </c>
    </row>
    <row r="1190" spans="2:13" outlineLevel="2" x14ac:dyDescent="0.2"/>
    <row r="1191" spans="2:13" ht="33.75" outlineLevel="3" x14ac:dyDescent="0.2">
      <c r="B1191" s="4" t="str">
        <f t="shared" ref="B1191:B1197" si="45">"0001350100"</f>
        <v>0001350100</v>
      </c>
      <c r="C1191" s="5" t="str">
        <f>"382531"</f>
        <v>382531</v>
      </c>
      <c r="D1191" s="12" t="s">
        <v>199</v>
      </c>
      <c r="E1191" s="14" t="s">
        <v>98</v>
      </c>
      <c r="F1191" s="12" t="s">
        <v>3</v>
      </c>
      <c r="G1191" s="15">
        <v>98</v>
      </c>
      <c r="H1191" s="12" t="s">
        <v>200</v>
      </c>
      <c r="I1191" s="12" t="s">
        <v>170</v>
      </c>
      <c r="K1191" s="16">
        <v>53.64</v>
      </c>
      <c r="L1191" s="16">
        <v>79.849999999999994</v>
      </c>
      <c r="M1191" s="16">
        <v>35.53</v>
      </c>
    </row>
    <row r="1192" spans="2:13" ht="33.75" outlineLevel="3" x14ac:dyDescent="0.2">
      <c r="B1192" s="4" t="str">
        <f t="shared" si="45"/>
        <v>0001350100</v>
      </c>
      <c r="C1192" s="5" t="str">
        <f>"003678"</f>
        <v>003678</v>
      </c>
      <c r="D1192" s="12" t="s">
        <v>201</v>
      </c>
      <c r="E1192" s="14" t="s">
        <v>98</v>
      </c>
      <c r="F1192" s="12" t="s">
        <v>3</v>
      </c>
      <c r="G1192" s="15">
        <v>100</v>
      </c>
      <c r="H1192" s="12" t="s">
        <v>200</v>
      </c>
      <c r="I1192" s="12" t="s">
        <v>70</v>
      </c>
      <c r="K1192" s="16">
        <v>23.24</v>
      </c>
      <c r="L1192" s="16">
        <v>35.520000000000003</v>
      </c>
      <c r="M1192" s="16">
        <v>35.53</v>
      </c>
    </row>
    <row r="1193" spans="2:13" ht="33.75" outlineLevel="3" x14ac:dyDescent="0.2">
      <c r="B1193" s="4" t="str">
        <f t="shared" si="45"/>
        <v>0001350100</v>
      </c>
      <c r="C1193" s="5" t="str">
        <f>"010999"</f>
        <v>010999</v>
      </c>
      <c r="D1193" s="12" t="s">
        <v>202</v>
      </c>
      <c r="E1193" s="14" t="s">
        <v>98</v>
      </c>
      <c r="F1193" s="12" t="s">
        <v>3</v>
      </c>
      <c r="G1193" s="15">
        <v>98</v>
      </c>
      <c r="H1193" s="12" t="s">
        <v>200</v>
      </c>
      <c r="I1193" s="12" t="s">
        <v>5</v>
      </c>
      <c r="K1193" s="16">
        <v>23.24</v>
      </c>
      <c r="L1193" s="16">
        <v>35.520000000000003</v>
      </c>
      <c r="M1193" s="16">
        <v>35.53</v>
      </c>
    </row>
    <row r="1194" spans="2:13" ht="33.75" outlineLevel="3" x14ac:dyDescent="0.2">
      <c r="B1194" s="4" t="str">
        <f t="shared" si="45"/>
        <v>0001350100</v>
      </c>
      <c r="C1194" s="5" t="str">
        <f>"021179"</f>
        <v>021179</v>
      </c>
      <c r="D1194" s="12" t="s">
        <v>205</v>
      </c>
      <c r="E1194" s="14" t="s">
        <v>98</v>
      </c>
      <c r="F1194" s="12" t="s">
        <v>3</v>
      </c>
      <c r="G1194" s="15">
        <v>98</v>
      </c>
      <c r="H1194" s="12" t="s">
        <v>200</v>
      </c>
      <c r="I1194" s="12" t="s">
        <v>68</v>
      </c>
      <c r="K1194" s="16">
        <v>23.24</v>
      </c>
      <c r="L1194" s="16">
        <v>35.520000000000003</v>
      </c>
      <c r="M1194" s="16">
        <v>35.53</v>
      </c>
    </row>
    <row r="1195" spans="2:13" ht="33.75" outlineLevel="3" x14ac:dyDescent="0.2">
      <c r="B1195" s="4" t="str">
        <f t="shared" si="45"/>
        <v>0001350100</v>
      </c>
      <c r="C1195" s="5" t="str">
        <f>"059987"</f>
        <v>059987</v>
      </c>
      <c r="D1195" s="12" t="s">
        <v>204</v>
      </c>
      <c r="E1195" s="14" t="s">
        <v>98</v>
      </c>
      <c r="F1195" s="12" t="s">
        <v>3</v>
      </c>
      <c r="G1195" s="15">
        <v>98</v>
      </c>
      <c r="H1195" s="12" t="s">
        <v>200</v>
      </c>
      <c r="I1195" s="12" t="s">
        <v>104</v>
      </c>
      <c r="K1195" s="16">
        <v>23.24</v>
      </c>
      <c r="L1195" s="16">
        <v>35.520000000000003</v>
      </c>
      <c r="M1195" s="16">
        <v>35.53</v>
      </c>
    </row>
    <row r="1196" spans="2:13" ht="33.75" outlineLevel="3" x14ac:dyDescent="0.2">
      <c r="B1196" s="4" t="str">
        <f t="shared" si="45"/>
        <v>0001350100</v>
      </c>
      <c r="C1196" s="5" t="str">
        <f>"115544"</f>
        <v>115544</v>
      </c>
      <c r="D1196" s="12" t="s">
        <v>204</v>
      </c>
      <c r="E1196" s="14" t="s">
        <v>98</v>
      </c>
      <c r="F1196" s="12" t="s">
        <v>3</v>
      </c>
      <c r="G1196" s="15">
        <v>100</v>
      </c>
      <c r="H1196" s="12" t="s">
        <v>200</v>
      </c>
      <c r="I1196" s="12" t="s">
        <v>104</v>
      </c>
      <c r="K1196" s="16">
        <v>23.24</v>
      </c>
      <c r="L1196" s="16">
        <v>35.520000000000003</v>
      </c>
      <c r="M1196" s="16">
        <v>35.53</v>
      </c>
    </row>
    <row r="1197" spans="2:13" ht="33.75" outlineLevel="3" x14ac:dyDescent="0.2">
      <c r="B1197" s="4" t="str">
        <f t="shared" si="45"/>
        <v>0001350100</v>
      </c>
      <c r="C1197" s="5" t="str">
        <f>"023703"</f>
        <v>023703</v>
      </c>
      <c r="D1197" s="12" t="s">
        <v>203</v>
      </c>
      <c r="E1197" s="14" t="s">
        <v>98</v>
      </c>
      <c r="F1197" s="12" t="s">
        <v>3</v>
      </c>
      <c r="G1197" s="15" t="s">
        <v>123</v>
      </c>
      <c r="H1197" s="12" t="s">
        <v>200</v>
      </c>
      <c r="I1197" s="12" t="s">
        <v>30</v>
      </c>
      <c r="K1197" s="16">
        <v>22.24</v>
      </c>
      <c r="L1197" s="16">
        <v>34.03</v>
      </c>
      <c r="M1197" s="16">
        <v>35.53</v>
      </c>
    </row>
    <row r="1198" spans="2:13" outlineLevel="2" x14ac:dyDescent="0.2"/>
    <row r="1199" spans="2:13" ht="33.75" outlineLevel="3" x14ac:dyDescent="0.2">
      <c r="B1199" s="4" t="str">
        <f>"0005590100"</f>
        <v>0005590100</v>
      </c>
      <c r="C1199" s="5" t="str">
        <f>"517334"</f>
        <v>517334</v>
      </c>
      <c r="D1199" s="12" t="s">
        <v>199</v>
      </c>
      <c r="E1199" s="14" t="s">
        <v>116</v>
      </c>
      <c r="F1199" s="12" t="s">
        <v>3</v>
      </c>
      <c r="G1199" s="15">
        <v>98</v>
      </c>
      <c r="H1199" s="12" t="s">
        <v>200</v>
      </c>
      <c r="I1199" s="12" t="s">
        <v>170</v>
      </c>
      <c r="K1199" s="16">
        <v>96.55</v>
      </c>
      <c r="L1199" s="16">
        <v>138.85</v>
      </c>
      <c r="M1199" s="16">
        <v>85.79</v>
      </c>
    </row>
    <row r="1200" spans="2:13" ht="33.75" outlineLevel="3" x14ac:dyDescent="0.2">
      <c r="B1200" s="4" t="str">
        <f>"0005590100"</f>
        <v>0005590100</v>
      </c>
      <c r="C1200" s="5" t="str">
        <f>"014721"</f>
        <v>014721</v>
      </c>
      <c r="D1200" s="12" t="s">
        <v>201</v>
      </c>
      <c r="E1200" s="14" t="s">
        <v>116</v>
      </c>
      <c r="F1200" s="12" t="s">
        <v>3</v>
      </c>
      <c r="G1200" s="15">
        <v>100</v>
      </c>
      <c r="H1200" s="12" t="s">
        <v>200</v>
      </c>
      <c r="I1200" s="12" t="s">
        <v>70</v>
      </c>
      <c r="K1200" s="16">
        <v>56.5</v>
      </c>
      <c r="L1200" s="16">
        <v>83.79</v>
      </c>
      <c r="M1200" s="16">
        <v>85.79</v>
      </c>
    </row>
    <row r="1201" spans="1:13" ht="33.75" outlineLevel="3" x14ac:dyDescent="0.2">
      <c r="B1201" s="4" t="str">
        <f>"0005590100"</f>
        <v>0005590100</v>
      </c>
      <c r="C1201" s="5" t="str">
        <f>"060005"</f>
        <v>060005</v>
      </c>
      <c r="D1201" s="12" t="s">
        <v>204</v>
      </c>
      <c r="E1201" s="14" t="s">
        <v>116</v>
      </c>
      <c r="F1201" s="12" t="s">
        <v>3</v>
      </c>
      <c r="G1201" s="15">
        <v>98</v>
      </c>
      <c r="H1201" s="12" t="s">
        <v>200</v>
      </c>
      <c r="I1201" s="12" t="s">
        <v>104</v>
      </c>
      <c r="K1201" s="16">
        <v>56.5</v>
      </c>
      <c r="L1201" s="16">
        <v>83.79</v>
      </c>
      <c r="M1201" s="16">
        <v>85.79</v>
      </c>
    </row>
    <row r="1202" spans="1:13" ht="33.75" outlineLevel="3" x14ac:dyDescent="0.2">
      <c r="B1202" s="4" t="str">
        <f>"0005590100"</f>
        <v>0005590100</v>
      </c>
      <c r="C1202" s="5" t="str">
        <f>"496495"</f>
        <v>496495</v>
      </c>
      <c r="D1202" s="12" t="s">
        <v>202</v>
      </c>
      <c r="E1202" s="14" t="s">
        <v>116</v>
      </c>
      <c r="F1202" s="12" t="s">
        <v>3</v>
      </c>
      <c r="G1202" s="15">
        <v>98</v>
      </c>
      <c r="H1202" s="12" t="s">
        <v>200</v>
      </c>
      <c r="I1202" s="12" t="s">
        <v>298</v>
      </c>
      <c r="K1202" s="16">
        <v>56.5</v>
      </c>
      <c r="L1202" s="16">
        <v>83.79</v>
      </c>
      <c r="M1202" s="16">
        <v>85.79</v>
      </c>
    </row>
    <row r="1203" spans="1:13" outlineLevel="1" x14ac:dyDescent="0.2">
      <c r="A1203" s="3"/>
    </row>
    <row r="1204" spans="1:13" outlineLevel="2" x14ac:dyDescent="0.2">
      <c r="A1204" s="3" t="s">
        <v>1457</v>
      </c>
    </row>
    <row r="1205" spans="1:13" outlineLevel="3" x14ac:dyDescent="0.2">
      <c r="B1205" s="4" t="str">
        <f>"0001380030"</f>
        <v>0001380030</v>
      </c>
      <c r="C1205" s="5" t="str">
        <f>"014242"</f>
        <v>014242</v>
      </c>
      <c r="D1205" s="12" t="s">
        <v>206</v>
      </c>
      <c r="E1205" s="14" t="s">
        <v>14</v>
      </c>
      <c r="F1205" s="12" t="s">
        <v>73</v>
      </c>
      <c r="G1205" s="15">
        <v>28</v>
      </c>
      <c r="H1205" s="12" t="s">
        <v>207</v>
      </c>
      <c r="I1205" s="12" t="s">
        <v>5</v>
      </c>
      <c r="K1205" s="16">
        <v>6.45</v>
      </c>
      <c r="L1205" s="16">
        <v>10.29</v>
      </c>
      <c r="M1205" s="16">
        <v>11.79</v>
      </c>
    </row>
    <row r="1206" spans="1:13" outlineLevel="2" x14ac:dyDescent="0.2"/>
    <row r="1207" spans="1:13" outlineLevel="3" x14ac:dyDescent="0.2">
      <c r="B1207" s="4" t="str">
        <f>"0001380100"</f>
        <v>0001380100</v>
      </c>
      <c r="C1207" s="5" t="str">
        <f>"014220"</f>
        <v>014220</v>
      </c>
      <c r="D1207" s="12" t="s">
        <v>206</v>
      </c>
      <c r="E1207" s="14" t="s">
        <v>14</v>
      </c>
      <c r="F1207" s="12" t="s">
        <v>73</v>
      </c>
      <c r="G1207" s="15">
        <v>98</v>
      </c>
      <c r="H1207" s="12" t="s">
        <v>207</v>
      </c>
      <c r="I1207" s="12" t="s">
        <v>5</v>
      </c>
      <c r="K1207" s="16">
        <v>13.01</v>
      </c>
      <c r="L1207" s="16">
        <v>20.329999999999998</v>
      </c>
      <c r="M1207" s="16">
        <v>21.52</v>
      </c>
    </row>
    <row r="1208" spans="1:13" ht="22.5" outlineLevel="3" x14ac:dyDescent="0.2">
      <c r="B1208" s="4" t="str">
        <f>"0001380100"</f>
        <v>0001380100</v>
      </c>
      <c r="C1208" s="5" t="str">
        <f>"196893"</f>
        <v>196893</v>
      </c>
      <c r="D1208" s="12" t="s">
        <v>208</v>
      </c>
      <c r="E1208" s="14" t="s">
        <v>14</v>
      </c>
      <c r="F1208" s="12" t="s">
        <v>73</v>
      </c>
      <c r="G1208" s="15">
        <v>100</v>
      </c>
      <c r="H1208" s="12" t="s">
        <v>207</v>
      </c>
      <c r="I1208" s="12" t="s">
        <v>60</v>
      </c>
      <c r="K1208" s="16">
        <v>12.8</v>
      </c>
      <c r="L1208" s="16">
        <v>20.02</v>
      </c>
      <c r="M1208" s="16">
        <v>21.52</v>
      </c>
    </row>
    <row r="1209" spans="1:13" outlineLevel="2" x14ac:dyDescent="0.2"/>
    <row r="1210" spans="1:13" outlineLevel="3" x14ac:dyDescent="0.2">
      <c r="B1210" s="4" t="str">
        <f>"0001390100"</f>
        <v>0001390100</v>
      </c>
      <c r="C1210" s="5" t="str">
        <f>"014253"</f>
        <v>014253</v>
      </c>
      <c r="D1210" s="12" t="s">
        <v>206</v>
      </c>
      <c r="E1210" s="14" t="s">
        <v>98</v>
      </c>
      <c r="F1210" s="12" t="s">
        <v>73</v>
      </c>
      <c r="G1210" s="15">
        <v>98</v>
      </c>
      <c r="H1210" s="12" t="s">
        <v>207</v>
      </c>
      <c r="I1210" s="12" t="s">
        <v>5</v>
      </c>
      <c r="K1210" s="16">
        <v>23.01</v>
      </c>
      <c r="L1210" s="16">
        <v>35.18</v>
      </c>
      <c r="M1210" s="16">
        <v>34.450000000000003</v>
      </c>
    </row>
    <row r="1211" spans="1:13" ht="22.5" outlineLevel="3" x14ac:dyDescent="0.2">
      <c r="B1211" s="4" t="str">
        <f>"0001390100"</f>
        <v>0001390100</v>
      </c>
      <c r="C1211" s="5" t="str">
        <f>"569402"</f>
        <v>569402</v>
      </c>
      <c r="D1211" s="12" t="s">
        <v>208</v>
      </c>
      <c r="E1211" s="14" t="s">
        <v>98</v>
      </c>
      <c r="F1211" s="12" t="s">
        <v>73</v>
      </c>
      <c r="G1211" s="15">
        <v>100</v>
      </c>
      <c r="H1211" s="12" t="s">
        <v>207</v>
      </c>
      <c r="I1211" s="12" t="s">
        <v>60</v>
      </c>
      <c r="K1211" s="16">
        <v>21.5</v>
      </c>
      <c r="L1211" s="16">
        <v>32.950000000000003</v>
      </c>
      <c r="M1211" s="16">
        <v>34.450000000000003</v>
      </c>
    </row>
    <row r="1212" spans="1:13" outlineLevel="1" x14ac:dyDescent="0.2">
      <c r="A1212" s="3"/>
    </row>
    <row r="1213" spans="1:13" outlineLevel="2" x14ac:dyDescent="0.2">
      <c r="A1213" s="3" t="s">
        <v>1458</v>
      </c>
    </row>
    <row r="1214" spans="1:13" outlineLevel="3" x14ac:dyDescent="0.2">
      <c r="B1214" s="4" t="str">
        <f>"0001400030"</f>
        <v>0001400030</v>
      </c>
      <c r="C1214" s="5" t="str">
        <f>"019635"</f>
        <v>019635</v>
      </c>
      <c r="D1214" s="12" t="s">
        <v>209</v>
      </c>
      <c r="E1214" s="14" t="s">
        <v>14</v>
      </c>
      <c r="F1214" s="12" t="s">
        <v>73</v>
      </c>
      <c r="G1214" s="15">
        <v>30</v>
      </c>
      <c r="H1214" s="12" t="s">
        <v>210</v>
      </c>
      <c r="I1214" s="12" t="s">
        <v>5</v>
      </c>
      <c r="K1214" s="16">
        <v>9.65</v>
      </c>
      <c r="L1214" s="16">
        <v>15.35</v>
      </c>
      <c r="M1214" s="16">
        <v>16.850000000000001</v>
      </c>
    </row>
    <row r="1215" spans="1:13" outlineLevel="2" x14ac:dyDescent="0.2"/>
    <row r="1216" spans="1:13" outlineLevel="3" x14ac:dyDescent="0.2">
      <c r="B1216" s="4" t="str">
        <f>"0001400100"</f>
        <v>0001400100</v>
      </c>
      <c r="C1216" s="5" t="str">
        <f>"429926"</f>
        <v>429926</v>
      </c>
      <c r="D1216" s="12" t="s">
        <v>211</v>
      </c>
      <c r="E1216" s="14" t="s">
        <v>14</v>
      </c>
      <c r="F1216" s="12" t="s">
        <v>73</v>
      </c>
      <c r="G1216" s="15">
        <v>100</v>
      </c>
      <c r="H1216" s="12" t="s">
        <v>210</v>
      </c>
      <c r="I1216" s="12" t="s">
        <v>28</v>
      </c>
      <c r="J1216" s="2" t="s">
        <v>1400</v>
      </c>
      <c r="K1216" s="16" t="s">
        <v>1401</v>
      </c>
      <c r="L1216" s="16" t="s">
        <v>1401</v>
      </c>
      <c r="M1216" s="16">
        <v>37.82</v>
      </c>
    </row>
    <row r="1217" spans="1:13" outlineLevel="3" x14ac:dyDescent="0.2">
      <c r="B1217" s="4" t="str">
        <f>"0001400100"</f>
        <v>0001400100</v>
      </c>
      <c r="C1217" s="5" t="str">
        <f>"019709"</f>
        <v>019709</v>
      </c>
      <c r="D1217" s="12" t="s">
        <v>209</v>
      </c>
      <c r="E1217" s="14" t="s">
        <v>14</v>
      </c>
      <c r="F1217" s="12" t="s">
        <v>73</v>
      </c>
      <c r="G1217" s="15">
        <v>100</v>
      </c>
      <c r="H1217" s="12" t="s">
        <v>210</v>
      </c>
      <c r="I1217" s="12" t="s">
        <v>5</v>
      </c>
      <c r="K1217" s="16">
        <v>23.79</v>
      </c>
      <c r="L1217" s="16">
        <v>36.340000000000003</v>
      </c>
      <c r="M1217" s="16">
        <v>37.82</v>
      </c>
    </row>
    <row r="1218" spans="1:13" outlineLevel="3" x14ac:dyDescent="0.2">
      <c r="B1218" s="4" t="str">
        <f>"0001400100"</f>
        <v>0001400100</v>
      </c>
      <c r="C1218" s="5" t="str">
        <f>"125207"</f>
        <v>125207</v>
      </c>
      <c r="D1218" s="12" t="s">
        <v>213</v>
      </c>
      <c r="E1218" s="14" t="s">
        <v>14</v>
      </c>
      <c r="F1218" s="12" t="s">
        <v>73</v>
      </c>
      <c r="G1218" s="15">
        <v>100</v>
      </c>
      <c r="H1218" s="12" t="s">
        <v>210</v>
      </c>
      <c r="I1218" s="12" t="s">
        <v>214</v>
      </c>
      <c r="K1218" s="16">
        <v>23.79</v>
      </c>
      <c r="L1218" s="16">
        <v>36.340000000000003</v>
      </c>
      <c r="M1218" s="16">
        <v>37.82</v>
      </c>
    </row>
    <row r="1219" spans="1:13" outlineLevel="3" x14ac:dyDescent="0.2">
      <c r="B1219" s="4" t="str">
        <f>"0001400100"</f>
        <v>0001400100</v>
      </c>
      <c r="C1219" s="5" t="str">
        <f>"019504"</f>
        <v>019504</v>
      </c>
      <c r="D1219" s="12" t="s">
        <v>212</v>
      </c>
      <c r="E1219" s="14" t="s">
        <v>14</v>
      </c>
      <c r="F1219" s="12" t="s">
        <v>73</v>
      </c>
      <c r="G1219" s="15">
        <v>100</v>
      </c>
      <c r="H1219" s="12" t="s">
        <v>210</v>
      </c>
      <c r="I1219" s="12" t="s">
        <v>70</v>
      </c>
      <c r="K1219" s="16">
        <v>23.78</v>
      </c>
      <c r="L1219" s="16">
        <v>36.32</v>
      </c>
      <c r="M1219" s="16">
        <v>37.82</v>
      </c>
    </row>
    <row r="1220" spans="1:13" outlineLevel="2" x14ac:dyDescent="0.2"/>
    <row r="1221" spans="1:13" outlineLevel="3" x14ac:dyDescent="0.2">
      <c r="B1221" s="4" t="str">
        <f>"0001410030"</f>
        <v>0001410030</v>
      </c>
      <c r="C1221" s="5" t="str">
        <f>"019533"</f>
        <v>019533</v>
      </c>
      <c r="D1221" s="12" t="s">
        <v>209</v>
      </c>
      <c r="E1221" s="14" t="s">
        <v>98</v>
      </c>
      <c r="F1221" s="12" t="s">
        <v>73</v>
      </c>
      <c r="G1221" s="15">
        <v>30</v>
      </c>
      <c r="H1221" s="12" t="s">
        <v>210</v>
      </c>
      <c r="I1221" s="12" t="s">
        <v>5</v>
      </c>
      <c r="K1221" s="16">
        <v>17.55</v>
      </c>
      <c r="L1221" s="16">
        <v>27.07</v>
      </c>
      <c r="M1221" s="16">
        <v>28.57</v>
      </c>
    </row>
    <row r="1222" spans="1:13" outlineLevel="2" x14ac:dyDescent="0.2"/>
    <row r="1223" spans="1:13" outlineLevel="3" x14ac:dyDescent="0.2">
      <c r="B1223" s="4" t="str">
        <f>"0001410100"</f>
        <v>0001410100</v>
      </c>
      <c r="C1223" s="5" t="str">
        <f>"043089"</f>
        <v>043089</v>
      </c>
      <c r="D1223" s="12" t="s">
        <v>211</v>
      </c>
      <c r="E1223" s="14" t="s">
        <v>98</v>
      </c>
      <c r="F1223" s="12" t="s">
        <v>73</v>
      </c>
      <c r="G1223" s="15">
        <v>100</v>
      </c>
      <c r="H1223" s="12" t="s">
        <v>210</v>
      </c>
      <c r="I1223" s="12" t="s">
        <v>28</v>
      </c>
      <c r="J1223" s="2" t="s">
        <v>1400</v>
      </c>
      <c r="K1223" s="16" t="s">
        <v>1401</v>
      </c>
      <c r="L1223" s="16" t="s">
        <v>1401</v>
      </c>
      <c r="M1223" s="16">
        <v>44.17</v>
      </c>
    </row>
    <row r="1224" spans="1:13" outlineLevel="3" x14ac:dyDescent="0.2">
      <c r="B1224" s="4" t="str">
        <f>"0001410100"</f>
        <v>0001410100</v>
      </c>
      <c r="C1224" s="5" t="str">
        <f>"019515"</f>
        <v>019515</v>
      </c>
      <c r="D1224" s="12" t="s">
        <v>212</v>
      </c>
      <c r="E1224" s="14" t="s">
        <v>98</v>
      </c>
      <c r="F1224" s="12" t="s">
        <v>73</v>
      </c>
      <c r="G1224" s="15">
        <v>100</v>
      </c>
      <c r="H1224" s="12" t="s">
        <v>210</v>
      </c>
      <c r="I1224" s="12" t="s">
        <v>70</v>
      </c>
      <c r="K1224" s="16">
        <v>27.72</v>
      </c>
      <c r="L1224" s="16">
        <v>42.17</v>
      </c>
      <c r="M1224" s="16">
        <v>44.17</v>
      </c>
    </row>
    <row r="1225" spans="1:13" outlineLevel="3" x14ac:dyDescent="0.2">
      <c r="B1225" s="4" t="str">
        <f>"0001410100"</f>
        <v>0001410100</v>
      </c>
      <c r="C1225" s="5" t="str">
        <f>"019544"</f>
        <v>019544</v>
      </c>
      <c r="D1225" s="12" t="s">
        <v>209</v>
      </c>
      <c r="E1225" s="14" t="s">
        <v>98</v>
      </c>
      <c r="F1225" s="12" t="s">
        <v>73</v>
      </c>
      <c r="G1225" s="15">
        <v>100</v>
      </c>
      <c r="H1225" s="12" t="s">
        <v>210</v>
      </c>
      <c r="I1225" s="12" t="s">
        <v>5</v>
      </c>
      <c r="K1225" s="16">
        <v>27.72</v>
      </c>
      <c r="L1225" s="16">
        <v>42.17</v>
      </c>
      <c r="M1225" s="16">
        <v>44.17</v>
      </c>
    </row>
    <row r="1226" spans="1:13" outlineLevel="3" x14ac:dyDescent="0.2">
      <c r="B1226" s="4" t="str">
        <f>"0001410100"</f>
        <v>0001410100</v>
      </c>
      <c r="C1226" s="5" t="str">
        <f>"125230"</f>
        <v>125230</v>
      </c>
      <c r="D1226" s="12" t="s">
        <v>213</v>
      </c>
      <c r="E1226" s="14" t="s">
        <v>98</v>
      </c>
      <c r="F1226" s="12" t="s">
        <v>73</v>
      </c>
      <c r="G1226" s="15">
        <v>100</v>
      </c>
      <c r="H1226" s="12" t="s">
        <v>210</v>
      </c>
      <c r="I1226" s="12" t="s">
        <v>214</v>
      </c>
      <c r="K1226" s="16">
        <v>27.72</v>
      </c>
      <c r="L1226" s="16">
        <v>42.17</v>
      </c>
      <c r="M1226" s="16">
        <v>44.17</v>
      </c>
    </row>
    <row r="1227" spans="1:13" outlineLevel="1" x14ac:dyDescent="0.2">
      <c r="A1227" s="3"/>
    </row>
    <row r="1228" spans="1:13" outlineLevel="2" x14ac:dyDescent="0.2">
      <c r="A1228" s="3" t="s">
        <v>1459</v>
      </c>
    </row>
    <row r="1229" spans="1:13" outlineLevel="3" x14ac:dyDescent="0.2">
      <c r="B1229" s="4" t="str">
        <f>"0001420100"</f>
        <v>0001420100</v>
      </c>
      <c r="C1229" s="5" t="str">
        <f>"071115"</f>
        <v>071115</v>
      </c>
      <c r="D1229" s="12" t="s">
        <v>215</v>
      </c>
      <c r="E1229" s="14" t="s">
        <v>14</v>
      </c>
      <c r="F1229" s="12" t="s">
        <v>216</v>
      </c>
      <c r="G1229" s="15">
        <v>98</v>
      </c>
      <c r="H1229" s="12" t="s">
        <v>217</v>
      </c>
      <c r="I1229" s="12" t="s">
        <v>11</v>
      </c>
      <c r="K1229" s="16">
        <v>13.25</v>
      </c>
      <c r="L1229" s="16">
        <v>20.69</v>
      </c>
      <c r="M1229" s="16">
        <v>22.19</v>
      </c>
    </row>
    <row r="1230" spans="1:13" outlineLevel="1" x14ac:dyDescent="0.2">
      <c r="A1230" s="3"/>
    </row>
    <row r="1231" spans="1:13" outlineLevel="2" x14ac:dyDescent="0.2">
      <c r="A1231" s="3" t="s">
        <v>1460</v>
      </c>
    </row>
    <row r="1232" spans="1:13" ht="33.75" outlineLevel="3" x14ac:dyDescent="0.2">
      <c r="B1232" s="4" t="str">
        <f t="shared" ref="B1232:B1237" si="46">"0005730030"</f>
        <v>0005730030</v>
      </c>
      <c r="C1232" s="5" t="str">
        <f>"061550"</f>
        <v>061550</v>
      </c>
      <c r="D1232" s="12" t="s">
        <v>701</v>
      </c>
      <c r="E1232" s="14" t="s">
        <v>98</v>
      </c>
      <c r="F1232" s="12" t="s">
        <v>3</v>
      </c>
      <c r="G1232" s="15">
        <v>30</v>
      </c>
      <c r="H1232" s="12" t="s">
        <v>702</v>
      </c>
      <c r="I1232" s="12" t="s">
        <v>240</v>
      </c>
      <c r="K1232" s="16">
        <v>27.56</v>
      </c>
      <c r="L1232" s="16">
        <v>41.94</v>
      </c>
      <c r="M1232" s="16">
        <v>43.12</v>
      </c>
    </row>
    <row r="1233" spans="2:13" ht="33.75" outlineLevel="3" x14ac:dyDescent="0.2">
      <c r="B1233" s="4" t="str">
        <f t="shared" si="46"/>
        <v>0005730030</v>
      </c>
      <c r="C1233" s="5" t="str">
        <f>"072404"</f>
        <v>072404</v>
      </c>
      <c r="D1233" s="12" t="s">
        <v>703</v>
      </c>
      <c r="E1233" s="14" t="s">
        <v>98</v>
      </c>
      <c r="F1233" s="12" t="s">
        <v>3</v>
      </c>
      <c r="G1233" s="15">
        <v>30</v>
      </c>
      <c r="H1233" s="12" t="s">
        <v>702</v>
      </c>
      <c r="I1233" s="12" t="s">
        <v>663</v>
      </c>
      <c r="K1233" s="16">
        <v>27.01</v>
      </c>
      <c r="L1233" s="16">
        <v>41.12</v>
      </c>
      <c r="M1233" s="16">
        <v>43.12</v>
      </c>
    </row>
    <row r="1234" spans="2:13" ht="33.75" outlineLevel="3" x14ac:dyDescent="0.2">
      <c r="B1234" s="4" t="str">
        <f t="shared" si="46"/>
        <v>0005730030</v>
      </c>
      <c r="C1234" s="5" t="str">
        <f>"165964"</f>
        <v>165964</v>
      </c>
      <c r="D1234" s="12" t="s">
        <v>704</v>
      </c>
      <c r="E1234" s="14" t="s">
        <v>98</v>
      </c>
      <c r="F1234" s="12" t="s">
        <v>3</v>
      </c>
      <c r="G1234" s="15">
        <v>30</v>
      </c>
      <c r="H1234" s="12" t="s">
        <v>702</v>
      </c>
      <c r="I1234" s="12" t="s">
        <v>30</v>
      </c>
      <c r="K1234" s="16">
        <v>27.01</v>
      </c>
      <c r="L1234" s="16">
        <v>41.12</v>
      </c>
      <c r="M1234" s="16">
        <v>43.12</v>
      </c>
    </row>
    <row r="1235" spans="2:13" ht="33.75" outlineLevel="3" x14ac:dyDescent="0.2">
      <c r="B1235" s="4" t="str">
        <f t="shared" si="46"/>
        <v>0005730030</v>
      </c>
      <c r="C1235" s="5" t="str">
        <f>"166208"</f>
        <v>166208</v>
      </c>
      <c r="D1235" s="12" t="s">
        <v>705</v>
      </c>
      <c r="E1235" s="14" t="s">
        <v>98</v>
      </c>
      <c r="F1235" s="12" t="s">
        <v>3</v>
      </c>
      <c r="G1235" s="15">
        <v>30</v>
      </c>
      <c r="H1235" s="12" t="s">
        <v>702</v>
      </c>
      <c r="I1235" s="12" t="s">
        <v>240</v>
      </c>
      <c r="K1235" s="16">
        <v>27.01</v>
      </c>
      <c r="L1235" s="16">
        <v>41.12</v>
      </c>
      <c r="M1235" s="16">
        <v>43.12</v>
      </c>
    </row>
    <row r="1236" spans="2:13" ht="33.75" outlineLevel="3" x14ac:dyDescent="0.2">
      <c r="B1236" s="4" t="str">
        <f t="shared" si="46"/>
        <v>0005730030</v>
      </c>
      <c r="C1236" s="5" t="str">
        <f>"445422"</f>
        <v>445422</v>
      </c>
      <c r="D1236" s="12" t="s">
        <v>706</v>
      </c>
      <c r="E1236" s="14" t="s">
        <v>98</v>
      </c>
      <c r="F1236" s="12" t="s">
        <v>3</v>
      </c>
      <c r="G1236" s="15">
        <v>30</v>
      </c>
      <c r="H1236" s="12" t="s">
        <v>702</v>
      </c>
      <c r="I1236" s="12" t="s">
        <v>298</v>
      </c>
      <c r="K1236" s="16">
        <v>27.01</v>
      </c>
      <c r="L1236" s="16">
        <v>41.12</v>
      </c>
      <c r="M1236" s="16">
        <v>43.12</v>
      </c>
    </row>
    <row r="1237" spans="2:13" ht="33.75" outlineLevel="3" x14ac:dyDescent="0.2">
      <c r="B1237" s="4" t="str">
        <f t="shared" si="46"/>
        <v>0005730030</v>
      </c>
      <c r="C1237" s="5" t="str">
        <f>"593751"</f>
        <v>593751</v>
      </c>
      <c r="D1237" s="12" t="s">
        <v>707</v>
      </c>
      <c r="E1237" s="14" t="s">
        <v>98</v>
      </c>
      <c r="F1237" s="12" t="s">
        <v>3</v>
      </c>
      <c r="G1237" s="15">
        <v>30</v>
      </c>
      <c r="H1237" s="12" t="s">
        <v>702</v>
      </c>
      <c r="I1237" s="12" t="s">
        <v>240</v>
      </c>
      <c r="K1237" s="16">
        <v>27.01</v>
      </c>
      <c r="L1237" s="16">
        <v>41.12</v>
      </c>
      <c r="M1237" s="16">
        <v>43.12</v>
      </c>
    </row>
    <row r="1238" spans="2:13" outlineLevel="2" x14ac:dyDescent="0.2"/>
    <row r="1239" spans="2:13" ht="33.75" outlineLevel="3" x14ac:dyDescent="0.2">
      <c r="B1239" s="4" t="str">
        <f t="shared" ref="B1239:B1246" si="47">"0005730100"</f>
        <v>0005730100</v>
      </c>
      <c r="C1239" s="5" t="str">
        <f>"061607"</f>
        <v>061607</v>
      </c>
      <c r="D1239" s="12" t="s">
        <v>701</v>
      </c>
      <c r="E1239" s="14" t="s">
        <v>98</v>
      </c>
      <c r="F1239" s="12" t="s">
        <v>3</v>
      </c>
      <c r="G1239" s="15">
        <v>100</v>
      </c>
      <c r="H1239" s="12" t="s">
        <v>702</v>
      </c>
      <c r="I1239" s="12" t="s">
        <v>240</v>
      </c>
      <c r="K1239" s="16">
        <v>91.87</v>
      </c>
      <c r="L1239" s="16">
        <v>132.41999999999999</v>
      </c>
      <c r="M1239" s="16">
        <v>63.9</v>
      </c>
    </row>
    <row r="1240" spans="2:13" ht="33.75" outlineLevel="3" x14ac:dyDescent="0.2">
      <c r="B1240" s="4" t="str">
        <f t="shared" si="47"/>
        <v>0005730100</v>
      </c>
      <c r="C1240" s="5" t="str">
        <f>"143439"</f>
        <v>143439</v>
      </c>
      <c r="D1240" s="12" t="s">
        <v>707</v>
      </c>
      <c r="E1240" s="14" t="s">
        <v>98</v>
      </c>
      <c r="F1240" s="12" t="s">
        <v>3</v>
      </c>
      <c r="G1240" s="15">
        <v>100</v>
      </c>
      <c r="H1240" s="12" t="s">
        <v>702</v>
      </c>
      <c r="I1240" s="12" t="s">
        <v>240</v>
      </c>
      <c r="K1240" s="16">
        <v>44.32</v>
      </c>
      <c r="L1240" s="16">
        <v>66.83</v>
      </c>
      <c r="M1240" s="16">
        <v>63.9</v>
      </c>
    </row>
    <row r="1241" spans="2:13" ht="33.75" outlineLevel="3" x14ac:dyDescent="0.2">
      <c r="B1241" s="4" t="str">
        <f t="shared" si="47"/>
        <v>0005730100</v>
      </c>
      <c r="C1241" s="5" t="str">
        <f>"165975"</f>
        <v>165975</v>
      </c>
      <c r="D1241" s="12" t="s">
        <v>704</v>
      </c>
      <c r="E1241" s="14" t="s">
        <v>98</v>
      </c>
      <c r="F1241" s="12" t="s">
        <v>3</v>
      </c>
      <c r="G1241" s="15">
        <v>100</v>
      </c>
      <c r="H1241" s="12" t="s">
        <v>702</v>
      </c>
      <c r="I1241" s="12" t="s">
        <v>30</v>
      </c>
      <c r="K1241" s="16">
        <v>44.32</v>
      </c>
      <c r="L1241" s="16">
        <v>66.83</v>
      </c>
      <c r="M1241" s="16">
        <v>63.9</v>
      </c>
    </row>
    <row r="1242" spans="2:13" ht="33.75" outlineLevel="3" x14ac:dyDescent="0.2">
      <c r="B1242" s="4" t="str">
        <f t="shared" si="47"/>
        <v>0005730100</v>
      </c>
      <c r="C1242" s="5" t="str">
        <f>"166219"</f>
        <v>166219</v>
      </c>
      <c r="D1242" s="12" t="s">
        <v>705</v>
      </c>
      <c r="E1242" s="14" t="s">
        <v>98</v>
      </c>
      <c r="F1242" s="12" t="s">
        <v>3</v>
      </c>
      <c r="G1242" s="15">
        <v>100</v>
      </c>
      <c r="H1242" s="12" t="s">
        <v>702</v>
      </c>
      <c r="I1242" s="12" t="s">
        <v>240</v>
      </c>
      <c r="K1242" s="16">
        <v>44.32</v>
      </c>
      <c r="L1242" s="16">
        <v>66.83</v>
      </c>
      <c r="M1242" s="16">
        <v>63.9</v>
      </c>
    </row>
    <row r="1243" spans="2:13" ht="33.75" outlineLevel="3" x14ac:dyDescent="0.2">
      <c r="B1243" s="4" t="str">
        <f t="shared" si="47"/>
        <v>0005730100</v>
      </c>
      <c r="C1243" s="5" t="str">
        <f>"420914"</f>
        <v>420914</v>
      </c>
      <c r="D1243" s="12" t="s">
        <v>703</v>
      </c>
      <c r="E1243" s="14" t="s">
        <v>98</v>
      </c>
      <c r="F1243" s="12" t="s">
        <v>3</v>
      </c>
      <c r="G1243" s="15">
        <v>100</v>
      </c>
      <c r="H1243" s="12" t="s">
        <v>702</v>
      </c>
      <c r="I1243" s="12" t="s">
        <v>663</v>
      </c>
      <c r="K1243" s="16">
        <v>44.32</v>
      </c>
      <c r="L1243" s="16">
        <v>66.83</v>
      </c>
      <c r="M1243" s="16">
        <v>63.9</v>
      </c>
    </row>
    <row r="1244" spans="2:13" ht="33.75" outlineLevel="3" x14ac:dyDescent="0.2">
      <c r="B1244" s="4" t="str">
        <f t="shared" si="47"/>
        <v>0005730100</v>
      </c>
      <c r="C1244" s="5" t="str">
        <f>"454077"</f>
        <v>454077</v>
      </c>
      <c r="D1244" s="12" t="s">
        <v>708</v>
      </c>
      <c r="E1244" s="14" t="s">
        <v>98</v>
      </c>
      <c r="F1244" s="12" t="s">
        <v>3</v>
      </c>
      <c r="G1244" s="15">
        <v>100</v>
      </c>
      <c r="H1244" s="12" t="s">
        <v>702</v>
      </c>
      <c r="I1244" s="12" t="s">
        <v>70</v>
      </c>
      <c r="K1244" s="16">
        <v>44.32</v>
      </c>
      <c r="L1244" s="16">
        <v>66.83</v>
      </c>
      <c r="M1244" s="16">
        <v>63.9</v>
      </c>
    </row>
    <row r="1245" spans="2:13" ht="33.75" outlineLevel="3" x14ac:dyDescent="0.2">
      <c r="B1245" s="4" t="str">
        <f t="shared" si="47"/>
        <v>0005730100</v>
      </c>
      <c r="C1245" s="5" t="str">
        <f>"476408"</f>
        <v>476408</v>
      </c>
      <c r="D1245" s="12" t="s">
        <v>706</v>
      </c>
      <c r="E1245" s="14" t="s">
        <v>98</v>
      </c>
      <c r="F1245" s="12" t="s">
        <v>3</v>
      </c>
      <c r="G1245" s="15">
        <v>100</v>
      </c>
      <c r="H1245" s="12" t="s">
        <v>702</v>
      </c>
      <c r="I1245" s="12" t="s">
        <v>298</v>
      </c>
      <c r="K1245" s="16">
        <v>44.32</v>
      </c>
      <c r="L1245" s="16">
        <v>66.83</v>
      </c>
      <c r="M1245" s="16">
        <v>63.9</v>
      </c>
    </row>
    <row r="1246" spans="2:13" ht="33.75" outlineLevel="3" x14ac:dyDescent="0.2">
      <c r="B1246" s="4" t="str">
        <f t="shared" si="47"/>
        <v>0005730100</v>
      </c>
      <c r="C1246" s="5" t="str">
        <f>"567332"</f>
        <v>567332</v>
      </c>
      <c r="D1246" s="12" t="s">
        <v>709</v>
      </c>
      <c r="E1246" s="14" t="s">
        <v>98</v>
      </c>
      <c r="F1246" s="12" t="s">
        <v>3</v>
      </c>
      <c r="G1246" s="15">
        <v>100</v>
      </c>
      <c r="H1246" s="12" t="s">
        <v>702</v>
      </c>
      <c r="I1246" s="12" t="s">
        <v>710</v>
      </c>
      <c r="K1246" s="16">
        <v>41</v>
      </c>
      <c r="L1246" s="16">
        <v>61.9</v>
      </c>
      <c r="M1246" s="16">
        <v>63.9</v>
      </c>
    </row>
    <row r="1247" spans="2:13" outlineLevel="2" x14ac:dyDescent="0.2"/>
    <row r="1248" spans="2:13" ht="33.75" outlineLevel="3" x14ac:dyDescent="0.2">
      <c r="B1248" s="4" t="str">
        <f t="shared" ref="B1248:B1253" si="48">"0005830030"</f>
        <v>0005830030</v>
      </c>
      <c r="C1248" s="5" t="str">
        <f>"061573"</f>
        <v>061573</v>
      </c>
      <c r="D1248" s="12" t="s">
        <v>701</v>
      </c>
      <c r="E1248" s="14" t="s">
        <v>116</v>
      </c>
      <c r="F1248" s="12" t="s">
        <v>3</v>
      </c>
      <c r="G1248" s="15">
        <v>30</v>
      </c>
      <c r="H1248" s="12" t="s">
        <v>702</v>
      </c>
      <c r="I1248" s="12" t="s">
        <v>240</v>
      </c>
      <c r="J1248" s="2" t="s">
        <v>1400</v>
      </c>
      <c r="K1248" s="16">
        <v>27.56</v>
      </c>
      <c r="L1248" s="16">
        <v>41.94</v>
      </c>
      <c r="M1248" s="16">
        <v>43.94</v>
      </c>
    </row>
    <row r="1249" spans="2:13" ht="33.75" outlineLevel="3" x14ac:dyDescent="0.2">
      <c r="B1249" s="4" t="str">
        <f t="shared" si="48"/>
        <v>0005830030</v>
      </c>
      <c r="C1249" s="5" t="str">
        <f>"040724"</f>
        <v>040724</v>
      </c>
      <c r="D1249" s="12" t="s">
        <v>704</v>
      </c>
      <c r="E1249" s="14" t="s">
        <v>116</v>
      </c>
      <c r="F1249" s="12" t="s">
        <v>3</v>
      </c>
      <c r="G1249" s="15">
        <v>30</v>
      </c>
      <c r="H1249" s="12" t="s">
        <v>702</v>
      </c>
      <c r="I1249" s="12" t="s">
        <v>30</v>
      </c>
      <c r="K1249" s="16">
        <v>27.56</v>
      </c>
      <c r="L1249" s="16">
        <v>41.94</v>
      </c>
      <c r="M1249" s="16">
        <v>43.94</v>
      </c>
    </row>
    <row r="1250" spans="2:13" ht="33.75" outlineLevel="3" x14ac:dyDescent="0.2">
      <c r="B1250" s="4" t="str">
        <f t="shared" si="48"/>
        <v>0005830030</v>
      </c>
      <c r="C1250" s="5" t="str">
        <f>"113314"</f>
        <v>113314</v>
      </c>
      <c r="D1250" s="12" t="s">
        <v>707</v>
      </c>
      <c r="E1250" s="14" t="s">
        <v>116</v>
      </c>
      <c r="F1250" s="12" t="s">
        <v>3</v>
      </c>
      <c r="G1250" s="15">
        <v>30</v>
      </c>
      <c r="H1250" s="12" t="s">
        <v>702</v>
      </c>
      <c r="I1250" s="12" t="s">
        <v>240</v>
      </c>
      <c r="K1250" s="16">
        <v>27.56</v>
      </c>
      <c r="L1250" s="16">
        <v>41.94</v>
      </c>
      <c r="M1250" s="16">
        <v>43.94</v>
      </c>
    </row>
    <row r="1251" spans="2:13" ht="33.75" outlineLevel="3" x14ac:dyDescent="0.2">
      <c r="B1251" s="4" t="str">
        <f t="shared" si="48"/>
        <v>0005830030</v>
      </c>
      <c r="C1251" s="5" t="str">
        <f>"128138"</f>
        <v>128138</v>
      </c>
      <c r="D1251" s="12" t="s">
        <v>706</v>
      </c>
      <c r="E1251" s="14" t="s">
        <v>116</v>
      </c>
      <c r="F1251" s="12" t="s">
        <v>3</v>
      </c>
      <c r="G1251" s="15">
        <v>30</v>
      </c>
      <c r="H1251" s="12" t="s">
        <v>702</v>
      </c>
      <c r="I1251" s="12" t="s">
        <v>298</v>
      </c>
      <c r="K1251" s="16">
        <v>27.56</v>
      </c>
      <c r="L1251" s="16">
        <v>41.94</v>
      </c>
      <c r="M1251" s="16">
        <v>43.94</v>
      </c>
    </row>
    <row r="1252" spans="2:13" ht="33.75" outlineLevel="3" x14ac:dyDescent="0.2">
      <c r="B1252" s="4" t="str">
        <f t="shared" si="48"/>
        <v>0005830030</v>
      </c>
      <c r="C1252" s="5" t="str">
        <f>"166230"</f>
        <v>166230</v>
      </c>
      <c r="D1252" s="12" t="s">
        <v>705</v>
      </c>
      <c r="E1252" s="14" t="s">
        <v>116</v>
      </c>
      <c r="F1252" s="12" t="s">
        <v>3</v>
      </c>
      <c r="G1252" s="15">
        <v>30</v>
      </c>
      <c r="H1252" s="12" t="s">
        <v>702</v>
      </c>
      <c r="I1252" s="12" t="s">
        <v>240</v>
      </c>
      <c r="K1252" s="16">
        <v>27.56</v>
      </c>
      <c r="L1252" s="16">
        <v>41.94</v>
      </c>
      <c r="M1252" s="16">
        <v>43.94</v>
      </c>
    </row>
    <row r="1253" spans="2:13" ht="33.75" outlineLevel="3" x14ac:dyDescent="0.2">
      <c r="B1253" s="4" t="str">
        <f t="shared" si="48"/>
        <v>0005830030</v>
      </c>
      <c r="C1253" s="5" t="str">
        <f>"419115"</f>
        <v>419115</v>
      </c>
      <c r="D1253" s="12" t="s">
        <v>703</v>
      </c>
      <c r="E1253" s="14" t="s">
        <v>116</v>
      </c>
      <c r="F1253" s="12" t="s">
        <v>3</v>
      </c>
      <c r="G1253" s="15">
        <v>30</v>
      </c>
      <c r="H1253" s="12" t="s">
        <v>702</v>
      </c>
      <c r="I1253" s="12" t="s">
        <v>663</v>
      </c>
      <c r="K1253" s="16">
        <v>27.56</v>
      </c>
      <c r="L1253" s="16">
        <v>41.94</v>
      </c>
      <c r="M1253" s="16">
        <v>43.94</v>
      </c>
    </row>
    <row r="1254" spans="2:13" outlineLevel="2" x14ac:dyDescent="0.2"/>
    <row r="1255" spans="2:13" ht="33.75" outlineLevel="3" x14ac:dyDescent="0.2">
      <c r="B1255" s="4" t="str">
        <f t="shared" ref="B1255:B1261" si="49">"0005830100"</f>
        <v>0005830100</v>
      </c>
      <c r="C1255" s="5" t="str">
        <f>"061561"</f>
        <v>061561</v>
      </c>
      <c r="D1255" s="12" t="s">
        <v>701</v>
      </c>
      <c r="E1255" s="14" t="s">
        <v>116</v>
      </c>
      <c r="F1255" s="12" t="s">
        <v>3</v>
      </c>
      <c r="G1255" s="15">
        <v>100</v>
      </c>
      <c r="H1255" s="12" t="s">
        <v>702</v>
      </c>
      <c r="I1255" s="12" t="s">
        <v>240</v>
      </c>
      <c r="K1255" s="16">
        <v>91.87</v>
      </c>
      <c r="L1255" s="16">
        <v>132.41999999999999</v>
      </c>
      <c r="M1255" s="16">
        <v>79.59</v>
      </c>
    </row>
    <row r="1256" spans="2:13" ht="33.75" outlineLevel="3" x14ac:dyDescent="0.2">
      <c r="B1256" s="4" t="str">
        <f t="shared" si="49"/>
        <v>0005830100</v>
      </c>
      <c r="C1256" s="5" t="str">
        <f>"154894"</f>
        <v>154894</v>
      </c>
      <c r="D1256" s="12" t="s">
        <v>706</v>
      </c>
      <c r="E1256" s="14" t="s">
        <v>116</v>
      </c>
      <c r="F1256" s="12" t="s">
        <v>3</v>
      </c>
      <c r="G1256" s="15">
        <v>100</v>
      </c>
      <c r="H1256" s="12" t="s">
        <v>702</v>
      </c>
      <c r="I1256" s="12" t="s">
        <v>298</v>
      </c>
      <c r="K1256" s="16">
        <v>56.57</v>
      </c>
      <c r="L1256" s="16">
        <v>83.88</v>
      </c>
      <c r="M1256" s="16">
        <v>79.59</v>
      </c>
    </row>
    <row r="1257" spans="2:13" ht="33.75" outlineLevel="3" x14ac:dyDescent="0.2">
      <c r="B1257" s="4" t="str">
        <f t="shared" si="49"/>
        <v>0005830100</v>
      </c>
      <c r="C1257" s="5" t="str">
        <f>"166241"</f>
        <v>166241</v>
      </c>
      <c r="D1257" s="12" t="s">
        <v>705</v>
      </c>
      <c r="E1257" s="14" t="s">
        <v>116</v>
      </c>
      <c r="F1257" s="12" t="s">
        <v>3</v>
      </c>
      <c r="G1257" s="15">
        <v>100</v>
      </c>
      <c r="H1257" s="12" t="s">
        <v>702</v>
      </c>
      <c r="I1257" s="12" t="s">
        <v>240</v>
      </c>
      <c r="K1257" s="16">
        <v>56.57</v>
      </c>
      <c r="L1257" s="16">
        <v>83.88</v>
      </c>
      <c r="M1257" s="16">
        <v>79.59</v>
      </c>
    </row>
    <row r="1258" spans="2:13" ht="33.75" outlineLevel="3" x14ac:dyDescent="0.2">
      <c r="B1258" s="4" t="str">
        <f t="shared" si="49"/>
        <v>0005830100</v>
      </c>
      <c r="C1258" s="5" t="str">
        <f>"515818"</f>
        <v>515818</v>
      </c>
      <c r="D1258" s="12" t="s">
        <v>707</v>
      </c>
      <c r="E1258" s="14" t="s">
        <v>116</v>
      </c>
      <c r="F1258" s="12" t="s">
        <v>3</v>
      </c>
      <c r="G1258" s="15">
        <v>100</v>
      </c>
      <c r="H1258" s="12" t="s">
        <v>702</v>
      </c>
      <c r="I1258" s="12" t="s">
        <v>240</v>
      </c>
      <c r="K1258" s="16">
        <v>56.57</v>
      </c>
      <c r="L1258" s="16">
        <v>83.88</v>
      </c>
      <c r="M1258" s="16">
        <v>79.59</v>
      </c>
    </row>
    <row r="1259" spans="2:13" ht="33.75" outlineLevel="3" x14ac:dyDescent="0.2">
      <c r="B1259" s="4" t="str">
        <f t="shared" si="49"/>
        <v>0005830100</v>
      </c>
      <c r="C1259" s="5" t="str">
        <f>"572084"</f>
        <v>572084</v>
      </c>
      <c r="D1259" s="12" t="s">
        <v>703</v>
      </c>
      <c r="E1259" s="14" t="s">
        <v>116</v>
      </c>
      <c r="F1259" s="12" t="s">
        <v>3</v>
      </c>
      <c r="G1259" s="15">
        <v>100</v>
      </c>
      <c r="H1259" s="12" t="s">
        <v>702</v>
      </c>
      <c r="I1259" s="12" t="s">
        <v>663</v>
      </c>
      <c r="K1259" s="16">
        <v>56.57</v>
      </c>
      <c r="L1259" s="16">
        <v>83.88</v>
      </c>
      <c r="M1259" s="16">
        <v>79.59</v>
      </c>
    </row>
    <row r="1260" spans="2:13" ht="33.75" outlineLevel="3" x14ac:dyDescent="0.2">
      <c r="B1260" s="4" t="str">
        <f t="shared" si="49"/>
        <v>0005830100</v>
      </c>
      <c r="C1260" s="5" t="str">
        <f>"468739"</f>
        <v>468739</v>
      </c>
      <c r="D1260" s="12" t="s">
        <v>704</v>
      </c>
      <c r="E1260" s="14" t="s">
        <v>116</v>
      </c>
      <c r="F1260" s="12" t="s">
        <v>3</v>
      </c>
      <c r="G1260" s="15">
        <v>100</v>
      </c>
      <c r="H1260" s="12" t="s">
        <v>702</v>
      </c>
      <c r="I1260" s="12" t="s">
        <v>30</v>
      </c>
      <c r="K1260" s="16">
        <v>55.12</v>
      </c>
      <c r="L1260" s="16">
        <v>81.88</v>
      </c>
      <c r="M1260" s="16">
        <v>79.59</v>
      </c>
    </row>
    <row r="1261" spans="2:13" ht="33.75" outlineLevel="3" x14ac:dyDescent="0.2">
      <c r="B1261" s="4" t="str">
        <f t="shared" si="49"/>
        <v>0005830100</v>
      </c>
      <c r="C1261" s="5" t="str">
        <f>"053304"</f>
        <v>053304</v>
      </c>
      <c r="D1261" s="12" t="s">
        <v>709</v>
      </c>
      <c r="E1261" s="14" t="s">
        <v>116</v>
      </c>
      <c r="F1261" s="12" t="s">
        <v>3</v>
      </c>
      <c r="G1261" s="15">
        <v>100</v>
      </c>
      <c r="H1261" s="12" t="s">
        <v>702</v>
      </c>
      <c r="I1261" s="12" t="s">
        <v>710</v>
      </c>
      <c r="K1261" s="16">
        <v>52</v>
      </c>
      <c r="L1261" s="16">
        <v>77.59</v>
      </c>
      <c r="M1261" s="16">
        <v>79.59</v>
      </c>
    </row>
    <row r="1262" spans="2:13" outlineLevel="2" x14ac:dyDescent="0.2"/>
    <row r="1263" spans="2:13" ht="33.75" outlineLevel="3" x14ac:dyDescent="0.2">
      <c r="B1263" s="4" t="str">
        <f t="shared" ref="B1263:B1269" si="50">"0010800030"</f>
        <v>0010800030</v>
      </c>
      <c r="C1263" s="5" t="str">
        <f>"061527"</f>
        <v>061527</v>
      </c>
      <c r="D1263" s="12" t="s">
        <v>701</v>
      </c>
      <c r="E1263" s="14" t="s">
        <v>82</v>
      </c>
      <c r="F1263" s="12" t="s">
        <v>3</v>
      </c>
      <c r="G1263" s="15">
        <v>30</v>
      </c>
      <c r="H1263" s="12" t="s">
        <v>702</v>
      </c>
      <c r="I1263" s="12" t="s">
        <v>240</v>
      </c>
      <c r="K1263" s="16">
        <v>13.33</v>
      </c>
      <c r="L1263" s="16">
        <v>20.81</v>
      </c>
      <c r="M1263" s="16">
        <v>22.31</v>
      </c>
    </row>
    <row r="1264" spans="2:13" ht="33.75" outlineLevel="3" x14ac:dyDescent="0.2">
      <c r="B1264" s="4" t="str">
        <f t="shared" si="50"/>
        <v>0010800030</v>
      </c>
      <c r="C1264" s="5" t="str">
        <f>"093439"</f>
        <v>093439</v>
      </c>
      <c r="D1264" s="12" t="s">
        <v>706</v>
      </c>
      <c r="E1264" s="14" t="s">
        <v>82</v>
      </c>
      <c r="F1264" s="12" t="s">
        <v>3</v>
      </c>
      <c r="G1264" s="15">
        <v>30</v>
      </c>
      <c r="H1264" s="12" t="s">
        <v>702</v>
      </c>
      <c r="I1264" s="12" t="s">
        <v>298</v>
      </c>
      <c r="K1264" s="16">
        <v>13.33</v>
      </c>
      <c r="L1264" s="16">
        <v>20.81</v>
      </c>
      <c r="M1264" s="16">
        <v>22.31</v>
      </c>
    </row>
    <row r="1265" spans="2:13" ht="33.75" outlineLevel="3" x14ac:dyDescent="0.2">
      <c r="B1265" s="4" t="str">
        <f t="shared" si="50"/>
        <v>0010800030</v>
      </c>
      <c r="C1265" s="5" t="str">
        <f>"110376"</f>
        <v>110376</v>
      </c>
      <c r="D1265" s="12" t="s">
        <v>707</v>
      </c>
      <c r="E1265" s="14" t="s">
        <v>82</v>
      </c>
      <c r="F1265" s="12" t="s">
        <v>3</v>
      </c>
      <c r="G1265" s="15">
        <v>30</v>
      </c>
      <c r="H1265" s="12" t="s">
        <v>702</v>
      </c>
      <c r="I1265" s="12" t="s">
        <v>240</v>
      </c>
      <c r="K1265" s="16">
        <v>13.33</v>
      </c>
      <c r="L1265" s="16">
        <v>20.81</v>
      </c>
      <c r="M1265" s="16">
        <v>22.31</v>
      </c>
    </row>
    <row r="1266" spans="2:13" ht="33.75" outlineLevel="3" x14ac:dyDescent="0.2">
      <c r="B1266" s="4" t="str">
        <f t="shared" si="50"/>
        <v>0010800030</v>
      </c>
      <c r="C1266" s="5" t="str">
        <f>"165920"</f>
        <v>165920</v>
      </c>
      <c r="D1266" s="12" t="s">
        <v>704</v>
      </c>
      <c r="E1266" s="14" t="s">
        <v>82</v>
      </c>
      <c r="F1266" s="12" t="s">
        <v>3</v>
      </c>
      <c r="G1266" s="15">
        <v>30</v>
      </c>
      <c r="H1266" s="12" t="s">
        <v>702</v>
      </c>
      <c r="I1266" s="12" t="s">
        <v>30</v>
      </c>
      <c r="K1266" s="16">
        <v>13.33</v>
      </c>
      <c r="L1266" s="16">
        <v>20.81</v>
      </c>
      <c r="M1266" s="16">
        <v>22.31</v>
      </c>
    </row>
    <row r="1267" spans="2:13" ht="33.75" outlineLevel="3" x14ac:dyDescent="0.2">
      <c r="B1267" s="4" t="str">
        <f t="shared" si="50"/>
        <v>0010800030</v>
      </c>
      <c r="C1267" s="5" t="str">
        <f>"166164"</f>
        <v>166164</v>
      </c>
      <c r="D1267" s="12" t="s">
        <v>705</v>
      </c>
      <c r="E1267" s="14" t="s">
        <v>82</v>
      </c>
      <c r="F1267" s="12" t="s">
        <v>3</v>
      </c>
      <c r="G1267" s="15">
        <v>30</v>
      </c>
      <c r="H1267" s="12" t="s">
        <v>702</v>
      </c>
      <c r="I1267" s="12" t="s">
        <v>240</v>
      </c>
      <c r="K1267" s="16">
        <v>13.33</v>
      </c>
      <c r="L1267" s="16">
        <v>20.81</v>
      </c>
      <c r="M1267" s="16">
        <v>22.31</v>
      </c>
    </row>
    <row r="1268" spans="2:13" ht="33.75" outlineLevel="3" x14ac:dyDescent="0.2">
      <c r="B1268" s="4" t="str">
        <f t="shared" si="50"/>
        <v>0010800030</v>
      </c>
      <c r="C1268" s="5" t="str">
        <f>"178050"</f>
        <v>178050</v>
      </c>
      <c r="D1268" s="12" t="s">
        <v>703</v>
      </c>
      <c r="E1268" s="14" t="s">
        <v>82</v>
      </c>
      <c r="F1268" s="12" t="s">
        <v>3</v>
      </c>
      <c r="G1268" s="15">
        <v>30</v>
      </c>
      <c r="H1268" s="12" t="s">
        <v>702</v>
      </c>
      <c r="I1268" s="12" t="s">
        <v>663</v>
      </c>
      <c r="K1268" s="16">
        <v>13.33</v>
      </c>
      <c r="L1268" s="16">
        <v>20.81</v>
      </c>
      <c r="M1268" s="16">
        <v>22.31</v>
      </c>
    </row>
    <row r="1269" spans="2:13" outlineLevel="3" x14ac:dyDescent="0.2">
      <c r="B1269" s="4" t="str">
        <f t="shared" si="50"/>
        <v>0010800030</v>
      </c>
      <c r="C1269" s="5" t="str">
        <f>"550124"</f>
        <v>550124</v>
      </c>
      <c r="D1269" s="12" t="s">
        <v>701</v>
      </c>
      <c r="E1269" s="14" t="s">
        <v>82</v>
      </c>
      <c r="F1269" s="12" t="s">
        <v>689</v>
      </c>
      <c r="G1269" s="15">
        <v>30</v>
      </c>
      <c r="H1269" s="12" t="s">
        <v>702</v>
      </c>
      <c r="I1269" s="12" t="s">
        <v>240</v>
      </c>
      <c r="J1269" s="2" t="s">
        <v>1400</v>
      </c>
      <c r="K1269" s="16">
        <v>12.66</v>
      </c>
      <c r="L1269" s="16">
        <v>19.809999999999999</v>
      </c>
      <c r="M1269" s="16">
        <v>22.31</v>
      </c>
    </row>
    <row r="1270" spans="2:13" ht="33.75" outlineLevel="3" x14ac:dyDescent="0.2">
      <c r="B1270" s="4" t="str">
        <f t="shared" ref="B1270:B1277" si="51">"0010800100"</f>
        <v>0010800100</v>
      </c>
      <c r="C1270" s="5" t="str">
        <f>"061584"</f>
        <v>061584</v>
      </c>
      <c r="D1270" s="12" t="s">
        <v>701</v>
      </c>
      <c r="E1270" s="14" t="s">
        <v>82</v>
      </c>
      <c r="F1270" s="12" t="s">
        <v>3</v>
      </c>
      <c r="G1270" s="15">
        <v>100</v>
      </c>
      <c r="H1270" s="12" t="s">
        <v>702</v>
      </c>
      <c r="I1270" s="12" t="s">
        <v>240</v>
      </c>
      <c r="K1270" s="16">
        <v>44.43</v>
      </c>
      <c r="L1270" s="16">
        <v>66.989999999999995</v>
      </c>
      <c r="M1270" s="16">
        <v>35.93</v>
      </c>
    </row>
    <row r="1271" spans="2:13" ht="33.75" outlineLevel="3" x14ac:dyDescent="0.2">
      <c r="B1271" s="4" t="str">
        <f t="shared" si="51"/>
        <v>0010800100</v>
      </c>
      <c r="C1271" s="5" t="str">
        <f>"052300"</f>
        <v>052300</v>
      </c>
      <c r="D1271" s="12" t="s">
        <v>703</v>
      </c>
      <c r="E1271" s="14" t="s">
        <v>82</v>
      </c>
      <c r="F1271" s="12" t="s">
        <v>3</v>
      </c>
      <c r="G1271" s="15">
        <v>100</v>
      </c>
      <c r="H1271" s="12" t="s">
        <v>702</v>
      </c>
      <c r="I1271" s="12" t="s">
        <v>663</v>
      </c>
      <c r="K1271" s="16">
        <v>25.49</v>
      </c>
      <c r="L1271" s="16">
        <v>38.86</v>
      </c>
      <c r="M1271" s="16">
        <v>35.93</v>
      </c>
    </row>
    <row r="1272" spans="2:13" ht="33.75" outlineLevel="3" x14ac:dyDescent="0.2">
      <c r="B1272" s="4" t="str">
        <f t="shared" si="51"/>
        <v>0010800100</v>
      </c>
      <c r="C1272" s="5" t="str">
        <f>"165931"</f>
        <v>165931</v>
      </c>
      <c r="D1272" s="12" t="s">
        <v>704</v>
      </c>
      <c r="E1272" s="14" t="s">
        <v>82</v>
      </c>
      <c r="F1272" s="12" t="s">
        <v>3</v>
      </c>
      <c r="G1272" s="15">
        <v>100</v>
      </c>
      <c r="H1272" s="12" t="s">
        <v>702</v>
      </c>
      <c r="I1272" s="12" t="s">
        <v>30</v>
      </c>
      <c r="K1272" s="16">
        <v>25.49</v>
      </c>
      <c r="L1272" s="16">
        <v>38.86</v>
      </c>
      <c r="M1272" s="16">
        <v>35.93</v>
      </c>
    </row>
    <row r="1273" spans="2:13" ht="33.75" outlineLevel="3" x14ac:dyDescent="0.2">
      <c r="B1273" s="4" t="str">
        <f t="shared" si="51"/>
        <v>0010800100</v>
      </c>
      <c r="C1273" s="5" t="str">
        <f>"166175"</f>
        <v>166175</v>
      </c>
      <c r="D1273" s="12" t="s">
        <v>705</v>
      </c>
      <c r="E1273" s="14" t="s">
        <v>82</v>
      </c>
      <c r="F1273" s="12" t="s">
        <v>3</v>
      </c>
      <c r="G1273" s="15">
        <v>100</v>
      </c>
      <c r="H1273" s="12" t="s">
        <v>702</v>
      </c>
      <c r="I1273" s="12" t="s">
        <v>240</v>
      </c>
      <c r="K1273" s="16">
        <v>25.49</v>
      </c>
      <c r="L1273" s="16">
        <v>38.86</v>
      </c>
      <c r="M1273" s="16">
        <v>35.93</v>
      </c>
    </row>
    <row r="1274" spans="2:13" ht="33.75" outlineLevel="3" x14ac:dyDescent="0.2">
      <c r="B1274" s="4" t="str">
        <f t="shared" si="51"/>
        <v>0010800100</v>
      </c>
      <c r="C1274" s="5" t="str">
        <f>"461493"</f>
        <v>461493</v>
      </c>
      <c r="D1274" s="12" t="s">
        <v>707</v>
      </c>
      <c r="E1274" s="14" t="s">
        <v>82</v>
      </c>
      <c r="F1274" s="12" t="s">
        <v>3</v>
      </c>
      <c r="G1274" s="15">
        <v>100</v>
      </c>
      <c r="H1274" s="12" t="s">
        <v>702</v>
      </c>
      <c r="I1274" s="12" t="s">
        <v>240</v>
      </c>
      <c r="K1274" s="16">
        <v>25.49</v>
      </c>
      <c r="L1274" s="16">
        <v>38.86</v>
      </c>
      <c r="M1274" s="16">
        <v>35.93</v>
      </c>
    </row>
    <row r="1275" spans="2:13" ht="33.75" outlineLevel="3" x14ac:dyDescent="0.2">
      <c r="B1275" s="4" t="str">
        <f t="shared" si="51"/>
        <v>0010800100</v>
      </c>
      <c r="C1275" s="5" t="str">
        <f>"541389"</f>
        <v>541389</v>
      </c>
      <c r="D1275" s="12" t="s">
        <v>706</v>
      </c>
      <c r="E1275" s="14" t="s">
        <v>82</v>
      </c>
      <c r="F1275" s="12" t="s">
        <v>3</v>
      </c>
      <c r="G1275" s="15">
        <v>100</v>
      </c>
      <c r="H1275" s="12" t="s">
        <v>702</v>
      </c>
      <c r="I1275" s="12" t="s">
        <v>298</v>
      </c>
      <c r="K1275" s="16">
        <v>25.49</v>
      </c>
      <c r="L1275" s="16">
        <v>38.86</v>
      </c>
      <c r="M1275" s="16">
        <v>35.93</v>
      </c>
    </row>
    <row r="1276" spans="2:13" ht="33.75" outlineLevel="3" x14ac:dyDescent="0.2">
      <c r="B1276" s="4" t="str">
        <f t="shared" si="51"/>
        <v>0010800100</v>
      </c>
      <c r="C1276" s="5" t="str">
        <f>"570279"</f>
        <v>570279</v>
      </c>
      <c r="D1276" s="12" t="s">
        <v>708</v>
      </c>
      <c r="E1276" s="14" t="s">
        <v>82</v>
      </c>
      <c r="F1276" s="12" t="s">
        <v>3</v>
      </c>
      <c r="G1276" s="15">
        <v>100</v>
      </c>
      <c r="H1276" s="12" t="s">
        <v>702</v>
      </c>
      <c r="I1276" s="12" t="s">
        <v>70</v>
      </c>
      <c r="K1276" s="16">
        <v>25.49</v>
      </c>
      <c r="L1276" s="16">
        <v>38.86</v>
      </c>
      <c r="M1276" s="16">
        <v>35.93</v>
      </c>
    </row>
    <row r="1277" spans="2:13" ht="33.75" outlineLevel="3" x14ac:dyDescent="0.2">
      <c r="B1277" s="4" t="str">
        <f t="shared" si="51"/>
        <v>0010800100</v>
      </c>
      <c r="C1277" s="5" t="str">
        <f>"061388"</f>
        <v>061388</v>
      </c>
      <c r="D1277" s="12" t="s">
        <v>709</v>
      </c>
      <c r="E1277" s="14" t="s">
        <v>82</v>
      </c>
      <c r="F1277" s="12" t="s">
        <v>3</v>
      </c>
      <c r="G1277" s="15">
        <v>100</v>
      </c>
      <c r="H1277" s="12" t="s">
        <v>702</v>
      </c>
      <c r="I1277" s="12" t="s">
        <v>710</v>
      </c>
      <c r="K1277" s="16">
        <v>22.5</v>
      </c>
      <c r="L1277" s="16">
        <v>34.43</v>
      </c>
      <c r="M1277" s="16">
        <v>35.93</v>
      </c>
    </row>
    <row r="1278" spans="2:13" outlineLevel="2" x14ac:dyDescent="0.2"/>
    <row r="1279" spans="2:13" ht="33.75" outlineLevel="3" x14ac:dyDescent="0.2">
      <c r="B1279" s="4" t="str">
        <f t="shared" ref="B1279:B1285" si="52">"0010840030"</f>
        <v>0010840030</v>
      </c>
      <c r="C1279" s="5" t="str">
        <f>"061538"</f>
        <v>061538</v>
      </c>
      <c r="D1279" s="12" t="s">
        <v>701</v>
      </c>
      <c r="E1279" s="14" t="s">
        <v>14</v>
      </c>
      <c r="F1279" s="12" t="s">
        <v>3</v>
      </c>
      <c r="G1279" s="15">
        <v>30</v>
      </c>
      <c r="H1279" s="12" t="s">
        <v>702</v>
      </c>
      <c r="I1279" s="12" t="s">
        <v>240</v>
      </c>
      <c r="K1279" s="16">
        <v>20.260000000000002</v>
      </c>
      <c r="L1279" s="16">
        <v>31.1</v>
      </c>
      <c r="M1279" s="16">
        <v>29.99</v>
      </c>
    </row>
    <row r="1280" spans="2:13" ht="33.75" outlineLevel="3" x14ac:dyDescent="0.2">
      <c r="B1280" s="4" t="str">
        <f t="shared" si="52"/>
        <v>0010840030</v>
      </c>
      <c r="C1280" s="5" t="str">
        <f>"165942"</f>
        <v>165942</v>
      </c>
      <c r="D1280" s="12" t="s">
        <v>704</v>
      </c>
      <c r="E1280" s="14" t="s">
        <v>14</v>
      </c>
      <c r="F1280" s="12" t="s">
        <v>3</v>
      </c>
      <c r="G1280" s="15">
        <v>30</v>
      </c>
      <c r="H1280" s="12" t="s">
        <v>702</v>
      </c>
      <c r="I1280" s="12" t="s">
        <v>30</v>
      </c>
      <c r="K1280" s="16">
        <v>20.260000000000002</v>
      </c>
      <c r="L1280" s="16">
        <v>31.1</v>
      </c>
      <c r="M1280" s="16">
        <v>29.99</v>
      </c>
    </row>
    <row r="1281" spans="1:13" ht="33.75" outlineLevel="3" x14ac:dyDescent="0.2">
      <c r="B1281" s="4" t="str">
        <f t="shared" si="52"/>
        <v>0010840030</v>
      </c>
      <c r="C1281" s="5" t="str">
        <f>"166186"</f>
        <v>166186</v>
      </c>
      <c r="D1281" s="12" t="s">
        <v>705</v>
      </c>
      <c r="E1281" s="14" t="s">
        <v>14</v>
      </c>
      <c r="F1281" s="12" t="s">
        <v>3</v>
      </c>
      <c r="G1281" s="15">
        <v>30</v>
      </c>
      <c r="H1281" s="12" t="s">
        <v>702</v>
      </c>
      <c r="I1281" s="12" t="s">
        <v>240</v>
      </c>
      <c r="K1281" s="16">
        <v>20.260000000000002</v>
      </c>
      <c r="L1281" s="16">
        <v>31.1</v>
      </c>
      <c r="M1281" s="16">
        <v>29.99</v>
      </c>
    </row>
    <row r="1282" spans="1:13" ht="33.75" outlineLevel="3" x14ac:dyDescent="0.2">
      <c r="B1282" s="4" t="str">
        <f t="shared" si="52"/>
        <v>0010840030</v>
      </c>
      <c r="C1282" s="5" t="str">
        <f>"179836"</f>
        <v>179836</v>
      </c>
      <c r="D1282" s="12" t="s">
        <v>707</v>
      </c>
      <c r="E1282" s="14" t="s">
        <v>14</v>
      </c>
      <c r="F1282" s="12" t="s">
        <v>3</v>
      </c>
      <c r="G1282" s="15">
        <v>30</v>
      </c>
      <c r="H1282" s="12" t="s">
        <v>702</v>
      </c>
      <c r="I1282" s="12" t="s">
        <v>240</v>
      </c>
      <c r="K1282" s="16">
        <v>20.260000000000002</v>
      </c>
      <c r="L1282" s="16">
        <v>31.1</v>
      </c>
      <c r="M1282" s="16">
        <v>29.99</v>
      </c>
    </row>
    <row r="1283" spans="1:13" ht="33.75" outlineLevel="3" x14ac:dyDescent="0.2">
      <c r="B1283" s="4" t="str">
        <f t="shared" si="52"/>
        <v>0010840030</v>
      </c>
      <c r="C1283" s="5" t="str">
        <f>"410532"</f>
        <v>410532</v>
      </c>
      <c r="D1283" s="12" t="s">
        <v>706</v>
      </c>
      <c r="E1283" s="14" t="s">
        <v>14</v>
      </c>
      <c r="F1283" s="12" t="s">
        <v>3</v>
      </c>
      <c r="G1283" s="15">
        <v>30</v>
      </c>
      <c r="H1283" s="12" t="s">
        <v>702</v>
      </c>
      <c r="I1283" s="12" t="s">
        <v>298</v>
      </c>
      <c r="K1283" s="16">
        <v>20.260000000000002</v>
      </c>
      <c r="L1283" s="16">
        <v>31.1</v>
      </c>
      <c r="M1283" s="16">
        <v>29.99</v>
      </c>
    </row>
    <row r="1284" spans="1:13" ht="33.75" outlineLevel="3" x14ac:dyDescent="0.2">
      <c r="B1284" s="4" t="str">
        <f t="shared" si="52"/>
        <v>0010840030</v>
      </c>
      <c r="C1284" s="5" t="str">
        <f>"545743"</f>
        <v>545743</v>
      </c>
      <c r="D1284" s="12" t="s">
        <v>703</v>
      </c>
      <c r="E1284" s="14" t="s">
        <v>14</v>
      </c>
      <c r="F1284" s="12" t="s">
        <v>3</v>
      </c>
      <c r="G1284" s="15">
        <v>30</v>
      </c>
      <c r="H1284" s="12" t="s">
        <v>702</v>
      </c>
      <c r="I1284" s="12" t="s">
        <v>663</v>
      </c>
      <c r="K1284" s="16">
        <v>20.260000000000002</v>
      </c>
      <c r="L1284" s="16">
        <v>31.1</v>
      </c>
      <c r="M1284" s="16">
        <v>29.99</v>
      </c>
    </row>
    <row r="1285" spans="1:13" ht="33.75" outlineLevel="3" x14ac:dyDescent="0.2">
      <c r="B1285" s="4" t="str">
        <f t="shared" si="52"/>
        <v>0010840030</v>
      </c>
      <c r="C1285" s="5" t="str">
        <f>"107390"</f>
        <v>107390</v>
      </c>
      <c r="D1285" s="12" t="s">
        <v>709</v>
      </c>
      <c r="E1285" s="14" t="s">
        <v>14</v>
      </c>
      <c r="F1285" s="12" t="s">
        <v>3</v>
      </c>
      <c r="G1285" s="15">
        <v>30</v>
      </c>
      <c r="H1285" s="12" t="s">
        <v>702</v>
      </c>
      <c r="I1285" s="12" t="s">
        <v>710</v>
      </c>
      <c r="K1285" s="16">
        <v>18.5</v>
      </c>
      <c r="L1285" s="16">
        <v>28.49</v>
      </c>
      <c r="M1285" s="16">
        <v>29.99</v>
      </c>
    </row>
    <row r="1286" spans="1:13" outlineLevel="2" x14ac:dyDescent="0.2"/>
    <row r="1287" spans="1:13" ht="33.75" outlineLevel="3" x14ac:dyDescent="0.2">
      <c r="B1287" s="4" t="str">
        <f t="shared" ref="B1287:B1294" si="53">"0010840100"</f>
        <v>0010840100</v>
      </c>
      <c r="C1287" s="5" t="str">
        <f>"061595"</f>
        <v>061595</v>
      </c>
      <c r="D1287" s="12" t="s">
        <v>701</v>
      </c>
      <c r="E1287" s="14" t="s">
        <v>14</v>
      </c>
      <c r="F1287" s="12" t="s">
        <v>3</v>
      </c>
      <c r="G1287" s="15">
        <v>100</v>
      </c>
      <c r="H1287" s="12" t="s">
        <v>702</v>
      </c>
      <c r="I1287" s="12" t="s">
        <v>240</v>
      </c>
      <c r="K1287" s="16">
        <v>67.53</v>
      </c>
      <c r="L1287" s="16">
        <v>98.95</v>
      </c>
      <c r="M1287" s="16">
        <v>44.59</v>
      </c>
    </row>
    <row r="1288" spans="1:13" ht="33.75" outlineLevel="3" x14ac:dyDescent="0.2">
      <c r="B1288" s="4" t="str">
        <f t="shared" si="53"/>
        <v>0010840100</v>
      </c>
      <c r="C1288" s="5" t="str">
        <f>"119478"</f>
        <v>119478</v>
      </c>
      <c r="D1288" s="12" t="s">
        <v>703</v>
      </c>
      <c r="E1288" s="14" t="s">
        <v>14</v>
      </c>
      <c r="F1288" s="12" t="s">
        <v>3</v>
      </c>
      <c r="G1288" s="15">
        <v>100</v>
      </c>
      <c r="H1288" s="12" t="s">
        <v>702</v>
      </c>
      <c r="I1288" s="12" t="s">
        <v>663</v>
      </c>
      <c r="K1288" s="16">
        <v>32.01</v>
      </c>
      <c r="L1288" s="16">
        <v>48.54</v>
      </c>
      <c r="M1288" s="16">
        <v>44.59</v>
      </c>
    </row>
    <row r="1289" spans="1:13" ht="33.75" outlineLevel="3" x14ac:dyDescent="0.2">
      <c r="B1289" s="4" t="str">
        <f t="shared" si="53"/>
        <v>0010840100</v>
      </c>
      <c r="C1289" s="5" t="str">
        <f>"166197"</f>
        <v>166197</v>
      </c>
      <c r="D1289" s="12" t="s">
        <v>705</v>
      </c>
      <c r="E1289" s="14" t="s">
        <v>14</v>
      </c>
      <c r="F1289" s="12" t="s">
        <v>3</v>
      </c>
      <c r="G1289" s="15">
        <v>100</v>
      </c>
      <c r="H1289" s="12" t="s">
        <v>702</v>
      </c>
      <c r="I1289" s="12" t="s">
        <v>240</v>
      </c>
      <c r="K1289" s="16">
        <v>32.01</v>
      </c>
      <c r="L1289" s="16">
        <v>48.54</v>
      </c>
      <c r="M1289" s="16">
        <v>44.59</v>
      </c>
    </row>
    <row r="1290" spans="1:13" ht="33.75" outlineLevel="3" x14ac:dyDescent="0.2">
      <c r="B1290" s="4" t="str">
        <f t="shared" si="53"/>
        <v>0010840100</v>
      </c>
      <c r="C1290" s="5" t="str">
        <f>"195166"</f>
        <v>195166</v>
      </c>
      <c r="D1290" s="12" t="s">
        <v>707</v>
      </c>
      <c r="E1290" s="14" t="s">
        <v>14</v>
      </c>
      <c r="F1290" s="12" t="s">
        <v>3</v>
      </c>
      <c r="G1290" s="15">
        <v>100</v>
      </c>
      <c r="H1290" s="12" t="s">
        <v>702</v>
      </c>
      <c r="I1290" s="12" t="s">
        <v>240</v>
      </c>
      <c r="K1290" s="16">
        <v>32.01</v>
      </c>
      <c r="L1290" s="16">
        <v>48.54</v>
      </c>
      <c r="M1290" s="16">
        <v>44.59</v>
      </c>
    </row>
    <row r="1291" spans="1:13" ht="33.75" outlineLevel="3" x14ac:dyDescent="0.2">
      <c r="B1291" s="4" t="str">
        <f t="shared" si="53"/>
        <v>0010840100</v>
      </c>
      <c r="C1291" s="5" t="str">
        <f>"385490"</f>
        <v>385490</v>
      </c>
      <c r="D1291" s="12" t="s">
        <v>706</v>
      </c>
      <c r="E1291" s="14" t="s">
        <v>14</v>
      </c>
      <c r="F1291" s="12" t="s">
        <v>3</v>
      </c>
      <c r="G1291" s="15">
        <v>100</v>
      </c>
      <c r="H1291" s="12" t="s">
        <v>702</v>
      </c>
      <c r="I1291" s="12" t="s">
        <v>298</v>
      </c>
      <c r="K1291" s="16">
        <v>32.01</v>
      </c>
      <c r="L1291" s="16">
        <v>48.54</v>
      </c>
      <c r="M1291" s="16">
        <v>44.59</v>
      </c>
    </row>
    <row r="1292" spans="1:13" ht="33.75" outlineLevel="3" x14ac:dyDescent="0.2">
      <c r="B1292" s="4" t="str">
        <f t="shared" si="53"/>
        <v>0010840100</v>
      </c>
      <c r="C1292" s="5" t="str">
        <f>"112561"</f>
        <v>112561</v>
      </c>
      <c r="D1292" s="12" t="s">
        <v>708</v>
      </c>
      <c r="E1292" s="14" t="s">
        <v>14</v>
      </c>
      <c r="F1292" s="12" t="s">
        <v>3</v>
      </c>
      <c r="G1292" s="15">
        <v>100</v>
      </c>
      <c r="H1292" s="12" t="s">
        <v>702</v>
      </c>
      <c r="I1292" s="12" t="s">
        <v>70</v>
      </c>
      <c r="K1292" s="16">
        <v>32</v>
      </c>
      <c r="L1292" s="16">
        <v>48.53</v>
      </c>
      <c r="M1292" s="16">
        <v>44.59</v>
      </c>
    </row>
    <row r="1293" spans="1:13" ht="33.75" outlineLevel="3" x14ac:dyDescent="0.2">
      <c r="B1293" s="4" t="str">
        <f t="shared" si="53"/>
        <v>0010840100</v>
      </c>
      <c r="C1293" s="5" t="str">
        <f>"165953"</f>
        <v>165953</v>
      </c>
      <c r="D1293" s="12" t="s">
        <v>704</v>
      </c>
      <c r="E1293" s="14" t="s">
        <v>14</v>
      </c>
      <c r="F1293" s="12" t="s">
        <v>3</v>
      </c>
      <c r="G1293" s="15">
        <v>100</v>
      </c>
      <c r="H1293" s="12" t="s">
        <v>702</v>
      </c>
      <c r="I1293" s="12" t="s">
        <v>30</v>
      </c>
      <c r="K1293" s="16">
        <v>32</v>
      </c>
      <c r="L1293" s="16">
        <v>48.53</v>
      </c>
      <c r="M1293" s="16">
        <v>44.59</v>
      </c>
    </row>
    <row r="1294" spans="1:13" ht="33.75" outlineLevel="3" x14ac:dyDescent="0.2">
      <c r="B1294" s="4" t="str">
        <f t="shared" si="53"/>
        <v>0010840100</v>
      </c>
      <c r="C1294" s="5" t="str">
        <f>"166277"</f>
        <v>166277</v>
      </c>
      <c r="D1294" s="12" t="s">
        <v>709</v>
      </c>
      <c r="E1294" s="14" t="s">
        <v>14</v>
      </c>
      <c r="F1294" s="12" t="s">
        <v>3</v>
      </c>
      <c r="G1294" s="15">
        <v>100</v>
      </c>
      <c r="H1294" s="12" t="s">
        <v>702</v>
      </c>
      <c r="I1294" s="12" t="s">
        <v>710</v>
      </c>
      <c r="K1294" s="16">
        <v>28</v>
      </c>
      <c r="L1294" s="16">
        <v>42.59</v>
      </c>
      <c r="M1294" s="16">
        <v>44.59</v>
      </c>
    </row>
    <row r="1295" spans="1:13" outlineLevel="1" x14ac:dyDescent="0.2">
      <c r="A1295" s="3"/>
    </row>
    <row r="1296" spans="1:13" outlineLevel="2" x14ac:dyDescent="0.2">
      <c r="A1296" s="3" t="s">
        <v>1461</v>
      </c>
    </row>
    <row r="1297" spans="2:13" ht="33.75" outlineLevel="3" x14ac:dyDescent="0.2">
      <c r="B1297" s="4" t="str">
        <f t="shared" ref="B1297:B1302" si="54">"0010130030"</f>
        <v>0010130030</v>
      </c>
      <c r="C1297" s="5" t="str">
        <f>"090964"</f>
        <v>090964</v>
      </c>
      <c r="D1297" s="12" t="s">
        <v>1028</v>
      </c>
      <c r="E1297" s="14" t="s">
        <v>111</v>
      </c>
      <c r="F1297" s="12" t="s">
        <v>3</v>
      </c>
      <c r="G1297" s="15">
        <v>30</v>
      </c>
      <c r="H1297" s="12" t="s">
        <v>1027</v>
      </c>
      <c r="I1297" s="12" t="s">
        <v>70</v>
      </c>
      <c r="K1297" s="16">
        <v>7.64</v>
      </c>
      <c r="L1297" s="16">
        <v>12.19</v>
      </c>
      <c r="M1297" s="16">
        <v>12.89</v>
      </c>
    </row>
    <row r="1298" spans="2:13" ht="33.75" outlineLevel="3" x14ac:dyDescent="0.2">
      <c r="B1298" s="4" t="str">
        <f t="shared" si="54"/>
        <v>0010130030</v>
      </c>
      <c r="C1298" s="5" t="str">
        <f>"447785"</f>
        <v>447785</v>
      </c>
      <c r="D1298" s="12" t="s">
        <v>1030</v>
      </c>
      <c r="E1298" s="14" t="s">
        <v>111</v>
      </c>
      <c r="F1298" s="12" t="s">
        <v>3</v>
      </c>
      <c r="G1298" s="15">
        <v>30</v>
      </c>
      <c r="H1298" s="12" t="s">
        <v>1027</v>
      </c>
      <c r="I1298" s="12" t="s">
        <v>30</v>
      </c>
      <c r="K1298" s="16">
        <v>7.64</v>
      </c>
      <c r="L1298" s="16">
        <v>12.19</v>
      </c>
      <c r="M1298" s="16">
        <v>12.89</v>
      </c>
    </row>
    <row r="1299" spans="2:13" ht="33.75" outlineLevel="3" x14ac:dyDescent="0.2">
      <c r="B1299" s="4" t="str">
        <f t="shared" si="54"/>
        <v>0010130030</v>
      </c>
      <c r="C1299" s="5" t="str">
        <f>"501781"</f>
        <v>501781</v>
      </c>
      <c r="D1299" s="12" t="s">
        <v>1032</v>
      </c>
      <c r="E1299" s="14" t="s">
        <v>111</v>
      </c>
      <c r="F1299" s="12" t="s">
        <v>3</v>
      </c>
      <c r="G1299" s="15">
        <v>30</v>
      </c>
      <c r="H1299" s="12" t="s">
        <v>1027</v>
      </c>
      <c r="I1299" s="12" t="s">
        <v>5</v>
      </c>
      <c r="K1299" s="16">
        <v>7.64</v>
      </c>
      <c r="L1299" s="16">
        <v>12.19</v>
      </c>
      <c r="M1299" s="16">
        <v>12.89</v>
      </c>
    </row>
    <row r="1300" spans="2:13" ht="33.75" outlineLevel="3" x14ac:dyDescent="0.2">
      <c r="B1300" s="4" t="str">
        <f t="shared" si="54"/>
        <v>0010130030</v>
      </c>
      <c r="C1300" s="5" t="str">
        <f>"430141"</f>
        <v>430141</v>
      </c>
      <c r="D1300" s="12" t="s">
        <v>1026</v>
      </c>
      <c r="E1300" s="14" t="s">
        <v>111</v>
      </c>
      <c r="F1300" s="12" t="s">
        <v>3</v>
      </c>
      <c r="G1300" s="15">
        <v>28</v>
      </c>
      <c r="H1300" s="12" t="s">
        <v>1027</v>
      </c>
      <c r="I1300" s="12" t="s">
        <v>79</v>
      </c>
      <c r="J1300" s="2" t="s">
        <v>1400</v>
      </c>
      <c r="K1300" s="16">
        <v>7.14</v>
      </c>
      <c r="L1300" s="16">
        <v>11.39</v>
      </c>
      <c r="M1300" s="16">
        <v>12.89</v>
      </c>
    </row>
    <row r="1301" spans="2:13" ht="33.75" outlineLevel="3" x14ac:dyDescent="0.2">
      <c r="B1301" s="4" t="str">
        <f t="shared" si="54"/>
        <v>0010130030</v>
      </c>
      <c r="C1301" s="5" t="str">
        <f>"145747"</f>
        <v>145747</v>
      </c>
      <c r="D1301" s="12" t="s">
        <v>1029</v>
      </c>
      <c r="E1301" s="14" t="s">
        <v>111</v>
      </c>
      <c r="F1301" s="12" t="s">
        <v>3</v>
      </c>
      <c r="G1301" s="15">
        <v>28</v>
      </c>
      <c r="H1301" s="12" t="s">
        <v>1027</v>
      </c>
      <c r="I1301" s="12" t="s">
        <v>68</v>
      </c>
      <c r="K1301" s="16">
        <v>7.14</v>
      </c>
      <c r="L1301" s="16">
        <v>11.39</v>
      </c>
      <c r="M1301" s="16">
        <v>12.89</v>
      </c>
    </row>
    <row r="1302" spans="2:13" ht="33.75" outlineLevel="3" x14ac:dyDescent="0.2">
      <c r="B1302" s="4" t="str">
        <f t="shared" si="54"/>
        <v>0010130030</v>
      </c>
      <c r="C1302" s="5" t="str">
        <f>"460502"</f>
        <v>460502</v>
      </c>
      <c r="D1302" s="12" t="s">
        <v>1031</v>
      </c>
      <c r="E1302" s="14" t="s">
        <v>111</v>
      </c>
      <c r="F1302" s="12" t="s">
        <v>3</v>
      </c>
      <c r="G1302" s="15">
        <v>28</v>
      </c>
      <c r="H1302" s="12" t="s">
        <v>1027</v>
      </c>
      <c r="I1302" s="12" t="s">
        <v>148</v>
      </c>
      <c r="K1302" s="16">
        <v>7.14</v>
      </c>
      <c r="L1302" s="16">
        <v>11.39</v>
      </c>
      <c r="M1302" s="16">
        <v>12.89</v>
      </c>
    </row>
    <row r="1303" spans="2:13" outlineLevel="2" x14ac:dyDescent="0.2"/>
    <row r="1304" spans="2:13" ht="33.75" outlineLevel="3" x14ac:dyDescent="0.2">
      <c r="B1304" s="4" t="str">
        <f t="shared" ref="B1304:B1309" si="55">"0010130100"</f>
        <v>0010130100</v>
      </c>
      <c r="C1304" s="5" t="str">
        <f>"448821"</f>
        <v>448821</v>
      </c>
      <c r="D1304" s="12" t="s">
        <v>1030</v>
      </c>
      <c r="E1304" s="14" t="s">
        <v>111</v>
      </c>
      <c r="F1304" s="12" t="s">
        <v>3</v>
      </c>
      <c r="G1304" s="15">
        <v>100</v>
      </c>
      <c r="H1304" s="12" t="s">
        <v>1027</v>
      </c>
      <c r="I1304" s="12" t="s">
        <v>30</v>
      </c>
      <c r="J1304" s="2" t="s">
        <v>1400</v>
      </c>
      <c r="K1304" s="16">
        <v>22.67</v>
      </c>
      <c r="L1304" s="16">
        <v>34.67</v>
      </c>
      <c r="M1304" s="16">
        <v>35.51</v>
      </c>
    </row>
    <row r="1305" spans="2:13" ht="33.75" outlineLevel="3" x14ac:dyDescent="0.2">
      <c r="B1305" s="4" t="str">
        <f t="shared" si="55"/>
        <v>0010130100</v>
      </c>
      <c r="C1305" s="5" t="str">
        <f>"090953"</f>
        <v>090953</v>
      </c>
      <c r="D1305" s="12" t="s">
        <v>1028</v>
      </c>
      <c r="E1305" s="14" t="s">
        <v>111</v>
      </c>
      <c r="F1305" s="12" t="s">
        <v>3</v>
      </c>
      <c r="G1305" s="15">
        <v>100</v>
      </c>
      <c r="H1305" s="12" t="s">
        <v>1027</v>
      </c>
      <c r="I1305" s="12" t="s">
        <v>70</v>
      </c>
      <c r="K1305" s="16">
        <v>22.67</v>
      </c>
      <c r="L1305" s="16">
        <v>34.67</v>
      </c>
      <c r="M1305" s="16">
        <v>35.51</v>
      </c>
    </row>
    <row r="1306" spans="2:13" ht="33.75" outlineLevel="3" x14ac:dyDescent="0.2">
      <c r="B1306" s="4" t="str">
        <f t="shared" si="55"/>
        <v>0010130100</v>
      </c>
      <c r="C1306" s="5" t="str">
        <f>"560121"</f>
        <v>560121</v>
      </c>
      <c r="D1306" s="12" t="s">
        <v>1032</v>
      </c>
      <c r="E1306" s="14" t="s">
        <v>111</v>
      </c>
      <c r="F1306" s="12" t="s">
        <v>3</v>
      </c>
      <c r="G1306" s="15">
        <v>100</v>
      </c>
      <c r="H1306" s="12" t="s">
        <v>1027</v>
      </c>
      <c r="I1306" s="12" t="s">
        <v>5</v>
      </c>
      <c r="K1306" s="16">
        <v>22.67</v>
      </c>
      <c r="L1306" s="16">
        <v>34.67</v>
      </c>
      <c r="M1306" s="16">
        <v>35.51</v>
      </c>
    </row>
    <row r="1307" spans="2:13" ht="33.75" outlineLevel="3" x14ac:dyDescent="0.2">
      <c r="B1307" s="4" t="str">
        <f t="shared" si="55"/>
        <v>0010130100</v>
      </c>
      <c r="C1307" s="5" t="str">
        <f>"485449"</f>
        <v>485449</v>
      </c>
      <c r="D1307" s="12" t="s">
        <v>1026</v>
      </c>
      <c r="E1307" s="14" t="s">
        <v>111</v>
      </c>
      <c r="F1307" s="12" t="s">
        <v>3</v>
      </c>
      <c r="G1307" s="15">
        <v>98</v>
      </c>
      <c r="H1307" s="12" t="s">
        <v>1027</v>
      </c>
      <c r="I1307" s="12" t="s">
        <v>79</v>
      </c>
      <c r="J1307" s="2" t="s">
        <v>1400</v>
      </c>
      <c r="K1307" s="16">
        <v>22.22</v>
      </c>
      <c r="L1307" s="16">
        <v>34.01</v>
      </c>
      <c r="M1307" s="16">
        <v>35.51</v>
      </c>
    </row>
    <row r="1308" spans="2:13" ht="33.75" outlineLevel="3" x14ac:dyDescent="0.2">
      <c r="B1308" s="4" t="str">
        <f t="shared" si="55"/>
        <v>0010130100</v>
      </c>
      <c r="C1308" s="5" t="str">
        <f>"067530"</f>
        <v>067530</v>
      </c>
      <c r="D1308" s="12" t="s">
        <v>1031</v>
      </c>
      <c r="E1308" s="14" t="s">
        <v>111</v>
      </c>
      <c r="F1308" s="12" t="s">
        <v>3</v>
      </c>
      <c r="G1308" s="15">
        <v>98</v>
      </c>
      <c r="H1308" s="12" t="s">
        <v>1027</v>
      </c>
      <c r="I1308" s="12" t="s">
        <v>148</v>
      </c>
      <c r="K1308" s="16">
        <v>22.22</v>
      </c>
      <c r="L1308" s="16">
        <v>34.01</v>
      </c>
      <c r="M1308" s="16">
        <v>35.51</v>
      </c>
    </row>
    <row r="1309" spans="2:13" ht="33.75" outlineLevel="3" x14ac:dyDescent="0.2">
      <c r="B1309" s="4" t="str">
        <f t="shared" si="55"/>
        <v>0010130100</v>
      </c>
      <c r="C1309" s="5" t="str">
        <f>"568002"</f>
        <v>568002</v>
      </c>
      <c r="D1309" s="12" t="s">
        <v>1029</v>
      </c>
      <c r="E1309" s="14" t="s">
        <v>111</v>
      </c>
      <c r="F1309" s="12" t="s">
        <v>3</v>
      </c>
      <c r="G1309" s="15">
        <v>98</v>
      </c>
      <c r="H1309" s="12" t="s">
        <v>1027</v>
      </c>
      <c r="I1309" s="12" t="s">
        <v>68</v>
      </c>
      <c r="K1309" s="16">
        <v>22.22</v>
      </c>
      <c r="L1309" s="16">
        <v>34.01</v>
      </c>
      <c r="M1309" s="16">
        <v>35.51</v>
      </c>
    </row>
    <row r="1310" spans="2:13" outlineLevel="2" x14ac:dyDescent="0.2"/>
    <row r="1311" spans="2:13" ht="33.75" outlineLevel="3" x14ac:dyDescent="0.2">
      <c r="B1311" s="4" t="str">
        <f t="shared" ref="B1311:B1317" si="56">"0010140030"</f>
        <v>0010140030</v>
      </c>
      <c r="C1311" s="5" t="str">
        <f>"090986"</f>
        <v>090986</v>
      </c>
      <c r="D1311" s="12" t="s">
        <v>1028</v>
      </c>
      <c r="E1311" s="14" t="s">
        <v>82</v>
      </c>
      <c r="F1311" s="12" t="s">
        <v>3</v>
      </c>
      <c r="G1311" s="15">
        <v>30</v>
      </c>
      <c r="H1311" s="12" t="s">
        <v>1027</v>
      </c>
      <c r="I1311" s="12" t="s">
        <v>70</v>
      </c>
      <c r="K1311" s="16">
        <v>13.89</v>
      </c>
      <c r="L1311" s="16">
        <v>21.64</v>
      </c>
      <c r="M1311" s="16">
        <v>21.76</v>
      </c>
    </row>
    <row r="1312" spans="2:13" ht="33.75" outlineLevel="3" x14ac:dyDescent="0.2">
      <c r="B1312" s="4" t="str">
        <f t="shared" si="56"/>
        <v>0010140030</v>
      </c>
      <c r="C1312" s="5" t="str">
        <f>"370520"</f>
        <v>370520</v>
      </c>
      <c r="D1312" s="12" t="s">
        <v>1032</v>
      </c>
      <c r="E1312" s="14" t="s">
        <v>82</v>
      </c>
      <c r="F1312" s="12" t="s">
        <v>3</v>
      </c>
      <c r="G1312" s="15">
        <v>30</v>
      </c>
      <c r="H1312" s="12" t="s">
        <v>1027</v>
      </c>
      <c r="I1312" s="12" t="s">
        <v>5</v>
      </c>
      <c r="K1312" s="16">
        <v>13.89</v>
      </c>
      <c r="L1312" s="16">
        <v>21.64</v>
      </c>
      <c r="M1312" s="16">
        <v>21.76</v>
      </c>
    </row>
    <row r="1313" spans="2:13" ht="33.75" outlineLevel="3" x14ac:dyDescent="0.2">
      <c r="B1313" s="4" t="str">
        <f t="shared" si="56"/>
        <v>0010140030</v>
      </c>
      <c r="C1313" s="5" t="str">
        <f>"442696"</f>
        <v>442696</v>
      </c>
      <c r="D1313" s="12" t="s">
        <v>1030</v>
      </c>
      <c r="E1313" s="14" t="s">
        <v>82</v>
      </c>
      <c r="F1313" s="12" t="s">
        <v>3</v>
      </c>
      <c r="G1313" s="15">
        <v>30</v>
      </c>
      <c r="H1313" s="12" t="s">
        <v>1027</v>
      </c>
      <c r="I1313" s="12" t="s">
        <v>30</v>
      </c>
      <c r="K1313" s="16">
        <v>13.89</v>
      </c>
      <c r="L1313" s="16">
        <v>21.64</v>
      </c>
      <c r="M1313" s="16">
        <v>21.76</v>
      </c>
    </row>
    <row r="1314" spans="2:13" ht="33.75" outlineLevel="3" x14ac:dyDescent="0.2">
      <c r="B1314" s="4" t="str">
        <f t="shared" si="56"/>
        <v>0010140030</v>
      </c>
      <c r="C1314" s="5" t="str">
        <f>"091162"</f>
        <v>091162</v>
      </c>
      <c r="D1314" s="12" t="s">
        <v>1026</v>
      </c>
      <c r="E1314" s="14" t="s">
        <v>82</v>
      </c>
      <c r="F1314" s="12" t="s">
        <v>3</v>
      </c>
      <c r="G1314" s="15">
        <v>28</v>
      </c>
      <c r="H1314" s="12" t="s">
        <v>1027</v>
      </c>
      <c r="I1314" s="12" t="s">
        <v>79</v>
      </c>
      <c r="J1314" s="2" t="s">
        <v>1400</v>
      </c>
      <c r="K1314" s="16">
        <v>12.96</v>
      </c>
      <c r="L1314" s="16">
        <v>20.260000000000002</v>
      </c>
      <c r="M1314" s="16">
        <v>21.76</v>
      </c>
    </row>
    <row r="1315" spans="2:13" ht="33.75" outlineLevel="3" x14ac:dyDescent="0.2">
      <c r="B1315" s="4" t="str">
        <f t="shared" si="56"/>
        <v>0010140030</v>
      </c>
      <c r="C1315" s="5" t="str">
        <f>"197005"</f>
        <v>197005</v>
      </c>
      <c r="D1315" s="12" t="s">
        <v>1033</v>
      </c>
      <c r="E1315" s="14" t="s">
        <v>82</v>
      </c>
      <c r="F1315" s="12" t="s">
        <v>3</v>
      </c>
      <c r="G1315" s="15">
        <v>28</v>
      </c>
      <c r="H1315" s="12" t="s">
        <v>1027</v>
      </c>
      <c r="I1315" s="12" t="s">
        <v>22</v>
      </c>
      <c r="K1315" s="16">
        <v>12.96</v>
      </c>
      <c r="L1315" s="16">
        <v>20.260000000000002</v>
      </c>
      <c r="M1315" s="16">
        <v>21.76</v>
      </c>
    </row>
    <row r="1316" spans="2:13" ht="33.75" outlineLevel="3" x14ac:dyDescent="0.2">
      <c r="B1316" s="4" t="str">
        <f t="shared" si="56"/>
        <v>0010140030</v>
      </c>
      <c r="C1316" s="5" t="str">
        <f>"496676"</f>
        <v>496676</v>
      </c>
      <c r="D1316" s="12" t="s">
        <v>1031</v>
      </c>
      <c r="E1316" s="14" t="s">
        <v>82</v>
      </c>
      <c r="F1316" s="12" t="s">
        <v>3</v>
      </c>
      <c r="G1316" s="15">
        <v>28</v>
      </c>
      <c r="H1316" s="12" t="s">
        <v>1027</v>
      </c>
      <c r="I1316" s="12" t="s">
        <v>148</v>
      </c>
      <c r="K1316" s="16">
        <v>12.96</v>
      </c>
      <c r="L1316" s="16">
        <v>20.260000000000002</v>
      </c>
      <c r="M1316" s="16">
        <v>21.76</v>
      </c>
    </row>
    <row r="1317" spans="2:13" ht="33.75" outlineLevel="3" x14ac:dyDescent="0.2">
      <c r="B1317" s="4" t="str">
        <f t="shared" si="56"/>
        <v>0010140030</v>
      </c>
      <c r="C1317" s="5" t="str">
        <f>"533231"</f>
        <v>533231</v>
      </c>
      <c r="D1317" s="12" t="s">
        <v>1029</v>
      </c>
      <c r="E1317" s="14" t="s">
        <v>82</v>
      </c>
      <c r="F1317" s="12" t="s">
        <v>3</v>
      </c>
      <c r="G1317" s="15">
        <v>28</v>
      </c>
      <c r="H1317" s="12" t="s">
        <v>1027</v>
      </c>
      <c r="I1317" s="12" t="s">
        <v>68</v>
      </c>
      <c r="K1317" s="16">
        <v>12.96</v>
      </c>
      <c r="L1317" s="16">
        <v>20.260000000000002</v>
      </c>
      <c r="M1317" s="16">
        <v>21.76</v>
      </c>
    </row>
    <row r="1318" spans="2:13" outlineLevel="2" x14ac:dyDescent="0.2"/>
    <row r="1319" spans="2:13" ht="33.75" outlineLevel="3" x14ac:dyDescent="0.2">
      <c r="B1319" s="4" t="str">
        <f t="shared" ref="B1319:B1325" si="57">"0010140100"</f>
        <v>0010140100</v>
      </c>
      <c r="C1319" s="5" t="str">
        <f>"090975"</f>
        <v>090975</v>
      </c>
      <c r="D1319" s="12" t="s">
        <v>1028</v>
      </c>
      <c r="E1319" s="14" t="s">
        <v>82</v>
      </c>
      <c r="F1319" s="12" t="s">
        <v>3</v>
      </c>
      <c r="G1319" s="15">
        <v>100</v>
      </c>
      <c r="H1319" s="12" t="s">
        <v>1027</v>
      </c>
      <c r="I1319" s="12" t="s">
        <v>70</v>
      </c>
      <c r="K1319" s="16">
        <v>45.11</v>
      </c>
      <c r="L1319" s="16">
        <v>68</v>
      </c>
      <c r="M1319" s="16">
        <v>68.650000000000006</v>
      </c>
    </row>
    <row r="1320" spans="2:13" ht="33.75" outlineLevel="3" x14ac:dyDescent="0.2">
      <c r="B1320" s="4" t="str">
        <f t="shared" si="57"/>
        <v>0010140100</v>
      </c>
      <c r="C1320" s="5" t="str">
        <f>"534512"</f>
        <v>534512</v>
      </c>
      <c r="D1320" s="12" t="s">
        <v>1030</v>
      </c>
      <c r="E1320" s="14" t="s">
        <v>82</v>
      </c>
      <c r="F1320" s="12" t="s">
        <v>3</v>
      </c>
      <c r="G1320" s="15">
        <v>100</v>
      </c>
      <c r="H1320" s="12" t="s">
        <v>1027</v>
      </c>
      <c r="I1320" s="12" t="s">
        <v>30</v>
      </c>
      <c r="K1320" s="16">
        <v>45.11</v>
      </c>
      <c r="L1320" s="16">
        <v>68</v>
      </c>
      <c r="M1320" s="16">
        <v>68.650000000000006</v>
      </c>
    </row>
    <row r="1321" spans="2:13" ht="33.75" outlineLevel="3" x14ac:dyDescent="0.2">
      <c r="B1321" s="4" t="str">
        <f t="shared" si="57"/>
        <v>0010140100</v>
      </c>
      <c r="C1321" s="5" t="str">
        <f>"568442"</f>
        <v>568442</v>
      </c>
      <c r="D1321" s="12" t="s">
        <v>1032</v>
      </c>
      <c r="E1321" s="14" t="s">
        <v>82</v>
      </c>
      <c r="F1321" s="12" t="s">
        <v>3</v>
      </c>
      <c r="G1321" s="15">
        <v>100</v>
      </c>
      <c r="H1321" s="12" t="s">
        <v>1027</v>
      </c>
      <c r="I1321" s="12" t="s">
        <v>5</v>
      </c>
      <c r="K1321" s="16">
        <v>45.11</v>
      </c>
      <c r="L1321" s="16">
        <v>68</v>
      </c>
      <c r="M1321" s="16">
        <v>68.650000000000006</v>
      </c>
    </row>
    <row r="1322" spans="2:13" ht="33.75" outlineLevel="3" x14ac:dyDescent="0.2">
      <c r="B1322" s="4" t="str">
        <f t="shared" si="57"/>
        <v>0010140100</v>
      </c>
      <c r="C1322" s="5" t="str">
        <f>"582737"</f>
        <v>582737</v>
      </c>
      <c r="D1322" s="12" t="s">
        <v>1033</v>
      </c>
      <c r="E1322" s="14" t="s">
        <v>82</v>
      </c>
      <c r="F1322" s="12" t="s">
        <v>3</v>
      </c>
      <c r="G1322" s="15">
        <v>98</v>
      </c>
      <c r="H1322" s="12" t="s">
        <v>1027</v>
      </c>
      <c r="I1322" s="12" t="s">
        <v>22</v>
      </c>
      <c r="K1322" s="16">
        <v>44.21</v>
      </c>
      <c r="L1322" s="16">
        <v>66.66</v>
      </c>
      <c r="M1322" s="16">
        <v>68.650000000000006</v>
      </c>
    </row>
    <row r="1323" spans="2:13" ht="33.75" outlineLevel="3" x14ac:dyDescent="0.2">
      <c r="B1323" s="4" t="str">
        <f t="shared" si="57"/>
        <v>0010140100</v>
      </c>
      <c r="C1323" s="5" t="str">
        <f>"493302"</f>
        <v>493302</v>
      </c>
      <c r="D1323" s="12" t="s">
        <v>1026</v>
      </c>
      <c r="E1323" s="14" t="s">
        <v>82</v>
      </c>
      <c r="F1323" s="12" t="s">
        <v>3</v>
      </c>
      <c r="G1323" s="15">
        <v>98</v>
      </c>
      <c r="H1323" s="12" t="s">
        <v>1027</v>
      </c>
      <c r="I1323" s="12" t="s">
        <v>79</v>
      </c>
      <c r="J1323" s="2" t="s">
        <v>1400</v>
      </c>
      <c r="K1323" s="16">
        <v>44.2</v>
      </c>
      <c r="L1323" s="16">
        <v>66.650000000000006</v>
      </c>
      <c r="M1323" s="16">
        <v>68.650000000000006</v>
      </c>
    </row>
    <row r="1324" spans="2:13" ht="33.75" outlineLevel="3" x14ac:dyDescent="0.2">
      <c r="B1324" s="4" t="str">
        <f t="shared" si="57"/>
        <v>0010140100</v>
      </c>
      <c r="C1324" s="5" t="str">
        <f>"484011"</f>
        <v>484011</v>
      </c>
      <c r="D1324" s="12" t="s">
        <v>1031</v>
      </c>
      <c r="E1324" s="14" t="s">
        <v>82</v>
      </c>
      <c r="F1324" s="12" t="s">
        <v>3</v>
      </c>
      <c r="G1324" s="15">
        <v>98</v>
      </c>
      <c r="H1324" s="12" t="s">
        <v>1027</v>
      </c>
      <c r="I1324" s="12" t="s">
        <v>148</v>
      </c>
      <c r="K1324" s="16">
        <v>44.2</v>
      </c>
      <c r="L1324" s="16">
        <v>66.650000000000006</v>
      </c>
      <c r="M1324" s="16">
        <v>68.650000000000006</v>
      </c>
    </row>
    <row r="1325" spans="2:13" ht="33.75" outlineLevel="3" x14ac:dyDescent="0.2">
      <c r="B1325" s="4" t="str">
        <f t="shared" si="57"/>
        <v>0010140100</v>
      </c>
      <c r="C1325" s="5" t="str">
        <f>"591979"</f>
        <v>591979</v>
      </c>
      <c r="D1325" s="12" t="s">
        <v>1029</v>
      </c>
      <c r="E1325" s="14" t="s">
        <v>82</v>
      </c>
      <c r="F1325" s="12" t="s">
        <v>3</v>
      </c>
      <c r="G1325" s="15">
        <v>98</v>
      </c>
      <c r="H1325" s="12" t="s">
        <v>1027</v>
      </c>
      <c r="I1325" s="12" t="s">
        <v>68</v>
      </c>
      <c r="K1325" s="16">
        <v>44.2</v>
      </c>
      <c r="L1325" s="16">
        <v>66.650000000000006</v>
      </c>
      <c r="M1325" s="16">
        <v>68.650000000000006</v>
      </c>
    </row>
    <row r="1326" spans="2:13" outlineLevel="2" x14ac:dyDescent="0.2"/>
    <row r="1327" spans="2:13" ht="33.75" outlineLevel="3" x14ac:dyDescent="0.2">
      <c r="B1327" s="4" t="str">
        <f t="shared" ref="B1327:B1333" si="58">"0010150030"</f>
        <v>0010150030</v>
      </c>
      <c r="C1327" s="5" t="str">
        <f>"506806"</f>
        <v>506806</v>
      </c>
      <c r="D1327" s="12" t="s">
        <v>1030</v>
      </c>
      <c r="E1327" s="14" t="s">
        <v>14</v>
      </c>
      <c r="F1327" s="12" t="s">
        <v>3</v>
      </c>
      <c r="G1327" s="15">
        <v>30</v>
      </c>
      <c r="H1327" s="12" t="s">
        <v>1027</v>
      </c>
      <c r="I1327" s="12" t="s">
        <v>30</v>
      </c>
      <c r="K1327" s="16">
        <v>20.72</v>
      </c>
      <c r="L1327" s="16">
        <v>31.78</v>
      </c>
      <c r="M1327" s="16">
        <v>31.78</v>
      </c>
    </row>
    <row r="1328" spans="2:13" ht="33.75" outlineLevel="3" x14ac:dyDescent="0.2">
      <c r="B1328" s="4" t="str">
        <f t="shared" si="58"/>
        <v>0010150030</v>
      </c>
      <c r="C1328" s="5" t="str">
        <f>"537400"</f>
        <v>537400</v>
      </c>
      <c r="D1328" s="12" t="s">
        <v>1032</v>
      </c>
      <c r="E1328" s="14" t="s">
        <v>14</v>
      </c>
      <c r="F1328" s="12" t="s">
        <v>3</v>
      </c>
      <c r="G1328" s="15">
        <v>30</v>
      </c>
      <c r="H1328" s="12" t="s">
        <v>1027</v>
      </c>
      <c r="I1328" s="12" t="s">
        <v>5</v>
      </c>
      <c r="K1328" s="16">
        <v>20.72</v>
      </c>
      <c r="L1328" s="16">
        <v>31.78</v>
      </c>
      <c r="M1328" s="16">
        <v>31.78</v>
      </c>
    </row>
    <row r="1329" spans="2:13" ht="33.75" outlineLevel="3" x14ac:dyDescent="0.2">
      <c r="B1329" s="4" t="str">
        <f t="shared" si="58"/>
        <v>0010150030</v>
      </c>
      <c r="C1329" s="5" t="str">
        <f>"091010"</f>
        <v>091010</v>
      </c>
      <c r="D1329" s="12" t="s">
        <v>1028</v>
      </c>
      <c r="E1329" s="14" t="s">
        <v>14</v>
      </c>
      <c r="F1329" s="12" t="s">
        <v>3</v>
      </c>
      <c r="G1329" s="15">
        <v>30</v>
      </c>
      <c r="H1329" s="12" t="s">
        <v>1027</v>
      </c>
      <c r="I1329" s="12" t="s">
        <v>70</v>
      </c>
      <c r="K1329" s="16">
        <v>20.71</v>
      </c>
      <c r="L1329" s="16">
        <v>31.77</v>
      </c>
      <c r="M1329" s="16">
        <v>31.78</v>
      </c>
    </row>
    <row r="1330" spans="2:13" ht="33.75" outlineLevel="3" x14ac:dyDescent="0.2">
      <c r="B1330" s="4" t="str">
        <f t="shared" si="58"/>
        <v>0010150030</v>
      </c>
      <c r="C1330" s="5" t="str">
        <f>"112511"</f>
        <v>112511</v>
      </c>
      <c r="D1330" s="12" t="s">
        <v>1026</v>
      </c>
      <c r="E1330" s="14" t="s">
        <v>14</v>
      </c>
      <c r="F1330" s="12" t="s">
        <v>3</v>
      </c>
      <c r="G1330" s="15">
        <v>28</v>
      </c>
      <c r="H1330" s="12" t="s">
        <v>1027</v>
      </c>
      <c r="I1330" s="12" t="s">
        <v>79</v>
      </c>
      <c r="J1330" s="2" t="s">
        <v>1400</v>
      </c>
      <c r="K1330" s="16">
        <v>19.71</v>
      </c>
      <c r="L1330" s="16">
        <v>30.28</v>
      </c>
      <c r="M1330" s="16">
        <v>31.78</v>
      </c>
    </row>
    <row r="1331" spans="2:13" ht="33.75" outlineLevel="3" x14ac:dyDescent="0.2">
      <c r="B1331" s="4" t="str">
        <f t="shared" si="58"/>
        <v>0010150030</v>
      </c>
      <c r="C1331" s="5" t="str">
        <f>"428251"</f>
        <v>428251</v>
      </c>
      <c r="D1331" s="12" t="s">
        <v>1031</v>
      </c>
      <c r="E1331" s="14" t="s">
        <v>14</v>
      </c>
      <c r="F1331" s="12" t="s">
        <v>3</v>
      </c>
      <c r="G1331" s="15">
        <v>28</v>
      </c>
      <c r="H1331" s="12" t="s">
        <v>1027</v>
      </c>
      <c r="I1331" s="12" t="s">
        <v>148</v>
      </c>
      <c r="K1331" s="16">
        <v>19.71</v>
      </c>
      <c r="L1331" s="16">
        <v>30.28</v>
      </c>
      <c r="M1331" s="16">
        <v>31.78</v>
      </c>
    </row>
    <row r="1332" spans="2:13" ht="33.75" outlineLevel="3" x14ac:dyDescent="0.2">
      <c r="B1332" s="4" t="str">
        <f t="shared" si="58"/>
        <v>0010150030</v>
      </c>
      <c r="C1332" s="5" t="str">
        <f>"482603"</f>
        <v>482603</v>
      </c>
      <c r="D1332" s="12" t="s">
        <v>1033</v>
      </c>
      <c r="E1332" s="14" t="s">
        <v>14</v>
      </c>
      <c r="F1332" s="12" t="s">
        <v>3</v>
      </c>
      <c r="G1332" s="15">
        <v>28</v>
      </c>
      <c r="H1332" s="12" t="s">
        <v>1027</v>
      </c>
      <c r="I1332" s="12" t="s">
        <v>22</v>
      </c>
      <c r="K1332" s="16">
        <v>19.71</v>
      </c>
      <c r="L1332" s="16">
        <v>30.28</v>
      </c>
      <c r="M1332" s="16">
        <v>31.78</v>
      </c>
    </row>
    <row r="1333" spans="2:13" ht="33.75" outlineLevel="3" x14ac:dyDescent="0.2">
      <c r="B1333" s="4" t="str">
        <f t="shared" si="58"/>
        <v>0010150030</v>
      </c>
      <c r="C1333" s="5" t="str">
        <f>"543086"</f>
        <v>543086</v>
      </c>
      <c r="D1333" s="12" t="s">
        <v>1029</v>
      </c>
      <c r="E1333" s="14" t="s">
        <v>14</v>
      </c>
      <c r="F1333" s="12" t="s">
        <v>3</v>
      </c>
      <c r="G1333" s="15">
        <v>28</v>
      </c>
      <c r="H1333" s="12" t="s">
        <v>1027</v>
      </c>
      <c r="I1333" s="12" t="s">
        <v>68</v>
      </c>
      <c r="K1333" s="16">
        <v>19.71</v>
      </c>
      <c r="L1333" s="16">
        <v>30.28</v>
      </c>
      <c r="M1333" s="16">
        <v>31.78</v>
      </c>
    </row>
    <row r="1334" spans="2:13" outlineLevel="2" x14ac:dyDescent="0.2"/>
    <row r="1335" spans="2:13" ht="33.75" outlineLevel="3" x14ac:dyDescent="0.2">
      <c r="B1335" s="4" t="str">
        <f t="shared" ref="B1335:B1342" si="59">"0010150100"</f>
        <v>0010150100</v>
      </c>
      <c r="C1335" s="5" t="str">
        <f>"407798"</f>
        <v>407798</v>
      </c>
      <c r="D1335" s="12" t="s">
        <v>1033</v>
      </c>
      <c r="E1335" s="14" t="s">
        <v>14</v>
      </c>
      <c r="F1335" s="12" t="s">
        <v>3</v>
      </c>
      <c r="G1335" s="15">
        <v>98</v>
      </c>
      <c r="H1335" s="12" t="s">
        <v>1027</v>
      </c>
      <c r="I1335" s="12" t="s">
        <v>22</v>
      </c>
      <c r="K1335" s="16">
        <v>67.180000000000007</v>
      </c>
      <c r="L1335" s="16">
        <v>98.47</v>
      </c>
      <c r="M1335" s="16">
        <v>70.89</v>
      </c>
    </row>
    <row r="1336" spans="2:13" ht="33.75" outlineLevel="3" x14ac:dyDescent="0.2">
      <c r="B1336" s="4" t="str">
        <f t="shared" si="59"/>
        <v>0010150100</v>
      </c>
      <c r="C1336" s="5" t="str">
        <f>"077525"</f>
        <v>077525</v>
      </c>
      <c r="D1336" s="12" t="s">
        <v>1026</v>
      </c>
      <c r="E1336" s="14" t="s">
        <v>14</v>
      </c>
      <c r="F1336" s="12" t="s">
        <v>3</v>
      </c>
      <c r="G1336" s="15">
        <v>98</v>
      </c>
      <c r="H1336" s="12" t="s">
        <v>1027</v>
      </c>
      <c r="I1336" s="12" t="s">
        <v>79</v>
      </c>
      <c r="J1336" s="2" t="s">
        <v>1400</v>
      </c>
      <c r="K1336" s="16">
        <v>67.13</v>
      </c>
      <c r="L1336" s="16">
        <v>98.4</v>
      </c>
      <c r="M1336" s="16">
        <v>70.89</v>
      </c>
    </row>
    <row r="1337" spans="2:13" ht="33.75" outlineLevel="3" x14ac:dyDescent="0.2">
      <c r="B1337" s="4" t="str">
        <f t="shared" si="59"/>
        <v>0010150100</v>
      </c>
      <c r="C1337" s="5" t="str">
        <f>"457468"</f>
        <v>457468</v>
      </c>
      <c r="D1337" s="12" t="s">
        <v>1034</v>
      </c>
      <c r="E1337" s="14" t="s">
        <v>14</v>
      </c>
      <c r="F1337" s="12" t="s">
        <v>3</v>
      </c>
      <c r="G1337" s="15">
        <v>98</v>
      </c>
      <c r="H1337" s="12" t="s">
        <v>1027</v>
      </c>
      <c r="I1337" s="12" t="s">
        <v>11</v>
      </c>
      <c r="J1337" s="2" t="s">
        <v>1400</v>
      </c>
      <c r="K1337" s="16">
        <v>48</v>
      </c>
      <c r="L1337" s="16">
        <v>72.09</v>
      </c>
      <c r="M1337" s="16">
        <v>70.89</v>
      </c>
    </row>
    <row r="1338" spans="2:13" ht="33.75" outlineLevel="3" x14ac:dyDescent="0.2">
      <c r="B1338" s="4" t="str">
        <f t="shared" si="59"/>
        <v>0010150100</v>
      </c>
      <c r="C1338" s="5" t="str">
        <f>"030790"</f>
        <v>030790</v>
      </c>
      <c r="D1338" s="12" t="s">
        <v>1031</v>
      </c>
      <c r="E1338" s="14" t="s">
        <v>14</v>
      </c>
      <c r="F1338" s="12" t="s">
        <v>3</v>
      </c>
      <c r="G1338" s="15">
        <v>98</v>
      </c>
      <c r="H1338" s="12" t="s">
        <v>1027</v>
      </c>
      <c r="I1338" s="12" t="s">
        <v>148</v>
      </c>
      <c r="K1338" s="16">
        <v>45.72</v>
      </c>
      <c r="L1338" s="16">
        <v>68.900000000000006</v>
      </c>
      <c r="M1338" s="16">
        <v>70.89</v>
      </c>
    </row>
    <row r="1339" spans="2:13" ht="33.75" outlineLevel="3" x14ac:dyDescent="0.2">
      <c r="B1339" s="4" t="str">
        <f t="shared" si="59"/>
        <v>0010150100</v>
      </c>
      <c r="C1339" s="5" t="str">
        <f>"120768"</f>
        <v>120768</v>
      </c>
      <c r="D1339" s="12" t="s">
        <v>1030</v>
      </c>
      <c r="E1339" s="14" t="s">
        <v>14</v>
      </c>
      <c r="F1339" s="12" t="s">
        <v>3</v>
      </c>
      <c r="G1339" s="15">
        <v>100</v>
      </c>
      <c r="H1339" s="12" t="s">
        <v>1027</v>
      </c>
      <c r="I1339" s="12" t="s">
        <v>30</v>
      </c>
      <c r="K1339" s="16">
        <v>45.72</v>
      </c>
      <c r="L1339" s="16">
        <v>68.900000000000006</v>
      </c>
      <c r="M1339" s="16">
        <v>70.89</v>
      </c>
    </row>
    <row r="1340" spans="2:13" ht="33.75" outlineLevel="3" x14ac:dyDescent="0.2">
      <c r="B1340" s="4" t="str">
        <f t="shared" si="59"/>
        <v>0010150100</v>
      </c>
      <c r="C1340" s="5" t="str">
        <f>"453633"</f>
        <v>453633</v>
      </c>
      <c r="D1340" s="12" t="s">
        <v>1029</v>
      </c>
      <c r="E1340" s="14" t="s">
        <v>14</v>
      </c>
      <c r="F1340" s="12" t="s">
        <v>3</v>
      </c>
      <c r="G1340" s="15">
        <v>98</v>
      </c>
      <c r="H1340" s="12" t="s">
        <v>1027</v>
      </c>
      <c r="I1340" s="12" t="s">
        <v>68</v>
      </c>
      <c r="K1340" s="16">
        <v>45.72</v>
      </c>
      <c r="L1340" s="16">
        <v>68.900000000000006</v>
      </c>
      <c r="M1340" s="16">
        <v>70.89</v>
      </c>
    </row>
    <row r="1341" spans="2:13" ht="33.75" outlineLevel="3" x14ac:dyDescent="0.2">
      <c r="B1341" s="4" t="str">
        <f t="shared" si="59"/>
        <v>0010150100</v>
      </c>
      <c r="C1341" s="5" t="str">
        <f>"524701"</f>
        <v>524701</v>
      </c>
      <c r="D1341" s="12" t="s">
        <v>1032</v>
      </c>
      <c r="E1341" s="14" t="s">
        <v>14</v>
      </c>
      <c r="F1341" s="12" t="s">
        <v>3</v>
      </c>
      <c r="G1341" s="15">
        <v>100</v>
      </c>
      <c r="H1341" s="12" t="s">
        <v>1027</v>
      </c>
      <c r="I1341" s="12" t="s">
        <v>5</v>
      </c>
      <c r="K1341" s="16">
        <v>45.72</v>
      </c>
      <c r="L1341" s="16">
        <v>68.900000000000006</v>
      </c>
      <c r="M1341" s="16">
        <v>70.89</v>
      </c>
    </row>
    <row r="1342" spans="2:13" ht="33.75" outlineLevel="3" x14ac:dyDescent="0.2">
      <c r="B1342" s="4" t="str">
        <f t="shared" si="59"/>
        <v>0010150100</v>
      </c>
      <c r="C1342" s="5" t="str">
        <f>"090998"</f>
        <v>090998</v>
      </c>
      <c r="D1342" s="12" t="s">
        <v>1028</v>
      </c>
      <c r="E1342" s="14" t="s">
        <v>14</v>
      </c>
      <c r="F1342" s="12" t="s">
        <v>3</v>
      </c>
      <c r="G1342" s="15">
        <v>100</v>
      </c>
      <c r="H1342" s="12" t="s">
        <v>1027</v>
      </c>
      <c r="I1342" s="12" t="s">
        <v>70</v>
      </c>
      <c r="K1342" s="16">
        <v>45.71</v>
      </c>
      <c r="L1342" s="16">
        <v>68.89</v>
      </c>
      <c r="M1342" s="16">
        <v>70.89</v>
      </c>
    </row>
    <row r="1343" spans="2:13" outlineLevel="2" x14ac:dyDescent="0.2"/>
    <row r="1344" spans="2:13" ht="33.75" outlineLevel="3" x14ac:dyDescent="0.2">
      <c r="B1344" s="4" t="str">
        <f>"0010160030"</f>
        <v>0010160030</v>
      </c>
      <c r="C1344" s="5" t="str">
        <f>"530109"</f>
        <v>530109</v>
      </c>
      <c r="D1344" s="12" t="s">
        <v>1030</v>
      </c>
      <c r="E1344" s="14" t="s">
        <v>98</v>
      </c>
      <c r="F1344" s="12" t="s">
        <v>3</v>
      </c>
      <c r="G1344" s="15">
        <v>30</v>
      </c>
      <c r="H1344" s="12" t="s">
        <v>1027</v>
      </c>
      <c r="I1344" s="12" t="s">
        <v>30</v>
      </c>
      <c r="K1344" s="16">
        <v>26.43</v>
      </c>
      <c r="L1344" s="16">
        <v>40.26</v>
      </c>
      <c r="M1344" s="16">
        <v>40.26</v>
      </c>
    </row>
    <row r="1345" spans="1:13" ht="33.75" outlineLevel="3" x14ac:dyDescent="0.2">
      <c r="B1345" s="4" t="str">
        <f>"0010160030"</f>
        <v>0010160030</v>
      </c>
      <c r="C1345" s="5" t="str">
        <f>"423424"</f>
        <v>423424</v>
      </c>
      <c r="D1345" s="12" t="s">
        <v>1032</v>
      </c>
      <c r="E1345" s="14" t="s">
        <v>98</v>
      </c>
      <c r="F1345" s="12" t="s">
        <v>3</v>
      </c>
      <c r="G1345" s="15">
        <v>30</v>
      </c>
      <c r="H1345" s="12" t="s">
        <v>1027</v>
      </c>
      <c r="I1345" s="12" t="s">
        <v>5</v>
      </c>
      <c r="K1345" s="16">
        <v>26.43</v>
      </c>
      <c r="L1345" s="16">
        <v>40.26</v>
      </c>
      <c r="M1345" s="16">
        <v>40.26</v>
      </c>
    </row>
    <row r="1346" spans="1:13" ht="33.75" outlineLevel="3" x14ac:dyDescent="0.2">
      <c r="B1346" s="4" t="str">
        <f>"0010160030"</f>
        <v>0010160030</v>
      </c>
      <c r="C1346" s="5" t="str">
        <f>"419324"</f>
        <v>419324</v>
      </c>
      <c r="D1346" s="12" t="s">
        <v>1026</v>
      </c>
      <c r="E1346" s="14" t="s">
        <v>98</v>
      </c>
      <c r="F1346" s="12" t="s">
        <v>3</v>
      </c>
      <c r="G1346" s="15">
        <v>28</v>
      </c>
      <c r="H1346" s="12" t="s">
        <v>1027</v>
      </c>
      <c r="I1346" s="12" t="s">
        <v>79</v>
      </c>
      <c r="J1346" s="2" t="s">
        <v>1400</v>
      </c>
      <c r="K1346" s="16">
        <v>25.42</v>
      </c>
      <c r="L1346" s="16">
        <v>38.76</v>
      </c>
      <c r="M1346" s="16">
        <v>40.26</v>
      </c>
    </row>
    <row r="1347" spans="1:13" ht="33.75" outlineLevel="3" x14ac:dyDescent="0.2">
      <c r="B1347" s="4" t="str">
        <f>"0010160030"</f>
        <v>0010160030</v>
      </c>
      <c r="C1347" s="5" t="str">
        <f>"456978"</f>
        <v>456978</v>
      </c>
      <c r="D1347" s="12" t="s">
        <v>1029</v>
      </c>
      <c r="E1347" s="14" t="s">
        <v>98</v>
      </c>
      <c r="F1347" s="12" t="s">
        <v>3</v>
      </c>
      <c r="G1347" s="15">
        <v>28</v>
      </c>
      <c r="H1347" s="12" t="s">
        <v>1027</v>
      </c>
      <c r="I1347" s="12" t="s">
        <v>68</v>
      </c>
      <c r="K1347" s="16">
        <v>25.42</v>
      </c>
      <c r="L1347" s="16">
        <v>38.76</v>
      </c>
      <c r="M1347" s="16">
        <v>40.26</v>
      </c>
    </row>
    <row r="1348" spans="1:13" ht="33.75" outlineLevel="3" x14ac:dyDescent="0.2">
      <c r="B1348" s="4" t="str">
        <f>"0010160030"</f>
        <v>0010160030</v>
      </c>
      <c r="C1348" s="5" t="str">
        <f>"461064"</f>
        <v>461064</v>
      </c>
      <c r="D1348" s="12" t="s">
        <v>1033</v>
      </c>
      <c r="E1348" s="14" t="s">
        <v>98</v>
      </c>
      <c r="F1348" s="12" t="s">
        <v>3</v>
      </c>
      <c r="G1348" s="15">
        <v>28</v>
      </c>
      <c r="H1348" s="12" t="s">
        <v>1027</v>
      </c>
      <c r="I1348" s="12" t="s">
        <v>22</v>
      </c>
      <c r="K1348" s="16">
        <v>25.42</v>
      </c>
      <c r="L1348" s="16">
        <v>38.76</v>
      </c>
      <c r="M1348" s="16">
        <v>40.26</v>
      </c>
    </row>
    <row r="1349" spans="1:13" outlineLevel="2" x14ac:dyDescent="0.2"/>
    <row r="1350" spans="1:13" ht="33.75" outlineLevel="3" x14ac:dyDescent="0.2">
      <c r="B1350" s="4" t="str">
        <f t="shared" ref="B1350:B1356" si="60">"0010160100"</f>
        <v>0010160100</v>
      </c>
      <c r="C1350" s="5" t="str">
        <f>"075732"</f>
        <v>075732</v>
      </c>
      <c r="D1350" s="12" t="s">
        <v>1032</v>
      </c>
      <c r="E1350" s="14" t="s">
        <v>98</v>
      </c>
      <c r="F1350" s="12" t="s">
        <v>3</v>
      </c>
      <c r="G1350" s="15">
        <v>100</v>
      </c>
      <c r="H1350" s="12" t="s">
        <v>1027</v>
      </c>
      <c r="I1350" s="12" t="s">
        <v>5</v>
      </c>
      <c r="K1350" s="16">
        <v>88.18</v>
      </c>
      <c r="L1350" s="16">
        <v>127.35</v>
      </c>
      <c r="M1350" s="16">
        <v>127.35</v>
      </c>
    </row>
    <row r="1351" spans="1:13" ht="33.75" outlineLevel="3" x14ac:dyDescent="0.2">
      <c r="B1351" s="4" t="str">
        <f t="shared" si="60"/>
        <v>0010160100</v>
      </c>
      <c r="C1351" s="5" t="str">
        <f>"091021"</f>
        <v>091021</v>
      </c>
      <c r="D1351" s="12" t="s">
        <v>1028</v>
      </c>
      <c r="E1351" s="14" t="s">
        <v>98</v>
      </c>
      <c r="F1351" s="12" t="s">
        <v>3</v>
      </c>
      <c r="G1351" s="15">
        <v>100</v>
      </c>
      <c r="H1351" s="12" t="s">
        <v>1027</v>
      </c>
      <c r="I1351" s="12" t="s">
        <v>70</v>
      </c>
      <c r="K1351" s="16">
        <v>88.18</v>
      </c>
      <c r="L1351" s="16">
        <v>127.35</v>
      </c>
      <c r="M1351" s="16">
        <v>127.35</v>
      </c>
    </row>
    <row r="1352" spans="1:13" ht="33.75" outlineLevel="3" x14ac:dyDescent="0.2">
      <c r="B1352" s="4" t="str">
        <f t="shared" si="60"/>
        <v>0010160100</v>
      </c>
      <c r="C1352" s="5" t="str">
        <f>"380732"</f>
        <v>380732</v>
      </c>
      <c r="D1352" s="12" t="s">
        <v>1030</v>
      </c>
      <c r="E1352" s="14" t="s">
        <v>98</v>
      </c>
      <c r="F1352" s="12" t="s">
        <v>3</v>
      </c>
      <c r="G1352" s="15">
        <v>100</v>
      </c>
      <c r="H1352" s="12" t="s">
        <v>1027</v>
      </c>
      <c r="I1352" s="12" t="s">
        <v>30</v>
      </c>
      <c r="K1352" s="16">
        <v>88.18</v>
      </c>
      <c r="L1352" s="16">
        <v>127.35</v>
      </c>
      <c r="M1352" s="16">
        <v>127.35</v>
      </c>
    </row>
    <row r="1353" spans="1:13" ht="33.75" outlineLevel="3" x14ac:dyDescent="0.2">
      <c r="B1353" s="4" t="str">
        <f t="shared" si="60"/>
        <v>0010160100</v>
      </c>
      <c r="C1353" s="5" t="str">
        <f>"104214"</f>
        <v>104214</v>
      </c>
      <c r="D1353" s="12" t="s">
        <v>1033</v>
      </c>
      <c r="E1353" s="14" t="s">
        <v>98</v>
      </c>
      <c r="F1353" s="12" t="s">
        <v>3</v>
      </c>
      <c r="G1353" s="15">
        <v>98</v>
      </c>
      <c r="H1353" s="12" t="s">
        <v>1027</v>
      </c>
      <c r="I1353" s="12" t="s">
        <v>22</v>
      </c>
      <c r="K1353" s="16">
        <v>86.74</v>
      </c>
      <c r="L1353" s="16">
        <v>125.37</v>
      </c>
      <c r="M1353" s="16">
        <v>127.35</v>
      </c>
    </row>
    <row r="1354" spans="1:13" ht="33.75" outlineLevel="3" x14ac:dyDescent="0.2">
      <c r="B1354" s="4" t="str">
        <f t="shared" si="60"/>
        <v>0010160100</v>
      </c>
      <c r="C1354" s="5" t="str">
        <f>"438623"</f>
        <v>438623</v>
      </c>
      <c r="D1354" s="12" t="s">
        <v>1026</v>
      </c>
      <c r="E1354" s="14" t="s">
        <v>98</v>
      </c>
      <c r="F1354" s="12" t="s">
        <v>3</v>
      </c>
      <c r="G1354" s="15">
        <v>98</v>
      </c>
      <c r="H1354" s="12" t="s">
        <v>1027</v>
      </c>
      <c r="I1354" s="12" t="s">
        <v>79</v>
      </c>
      <c r="J1354" s="2" t="s">
        <v>1400</v>
      </c>
      <c r="K1354" s="16">
        <v>86.73</v>
      </c>
      <c r="L1354" s="16">
        <v>125.35</v>
      </c>
      <c r="M1354" s="16">
        <v>127.35</v>
      </c>
    </row>
    <row r="1355" spans="1:13" ht="33.75" outlineLevel="3" x14ac:dyDescent="0.2">
      <c r="B1355" s="4" t="str">
        <f t="shared" si="60"/>
        <v>0010160100</v>
      </c>
      <c r="C1355" s="5" t="str">
        <f>"493445"</f>
        <v>493445</v>
      </c>
      <c r="D1355" s="12" t="s">
        <v>1029</v>
      </c>
      <c r="E1355" s="14" t="s">
        <v>98</v>
      </c>
      <c r="F1355" s="12" t="s">
        <v>3</v>
      </c>
      <c r="G1355" s="15">
        <v>98</v>
      </c>
      <c r="H1355" s="12" t="s">
        <v>1027</v>
      </c>
      <c r="I1355" s="12" t="s">
        <v>68</v>
      </c>
      <c r="K1355" s="16">
        <v>86.73</v>
      </c>
      <c r="L1355" s="16">
        <v>125.35</v>
      </c>
      <c r="M1355" s="16">
        <v>127.35</v>
      </c>
    </row>
    <row r="1356" spans="1:13" ht="33.75" outlineLevel="3" x14ac:dyDescent="0.2">
      <c r="B1356" s="4" t="str">
        <f t="shared" si="60"/>
        <v>0010160100</v>
      </c>
      <c r="C1356" s="5" t="str">
        <f>"190472"</f>
        <v>190472</v>
      </c>
      <c r="D1356" s="12" t="s">
        <v>1031</v>
      </c>
      <c r="E1356" s="14" t="s">
        <v>98</v>
      </c>
      <c r="F1356" s="12" t="s">
        <v>3</v>
      </c>
      <c r="G1356" s="15">
        <v>98</v>
      </c>
      <c r="H1356" s="12" t="s">
        <v>1027</v>
      </c>
      <c r="I1356" s="12" t="s">
        <v>148</v>
      </c>
      <c r="K1356" s="16">
        <v>86.73</v>
      </c>
      <c r="L1356" s="16">
        <v>125.35</v>
      </c>
      <c r="M1356" s="16">
        <v>127.35</v>
      </c>
    </row>
    <row r="1357" spans="1:13" outlineLevel="1" x14ac:dyDescent="0.2">
      <c r="A1357" s="3"/>
    </row>
    <row r="1358" spans="1:13" outlineLevel="2" x14ac:dyDescent="0.2">
      <c r="A1358" s="3" t="s">
        <v>1462</v>
      </c>
    </row>
    <row r="1359" spans="1:13" ht="22.5" outlineLevel="3" x14ac:dyDescent="0.2">
      <c r="B1359" s="4" t="str">
        <f>"0008270030"</f>
        <v>0008270030</v>
      </c>
      <c r="C1359" s="5" t="str">
        <f>"029060"</f>
        <v>029060</v>
      </c>
      <c r="D1359" s="12" t="s">
        <v>887</v>
      </c>
      <c r="E1359" s="14" t="s">
        <v>888</v>
      </c>
      <c r="F1359" s="12" t="s">
        <v>784</v>
      </c>
      <c r="G1359" s="15" t="s">
        <v>889</v>
      </c>
      <c r="H1359" s="12" t="s">
        <v>612</v>
      </c>
      <c r="I1359" s="12" t="s">
        <v>60</v>
      </c>
      <c r="K1359" s="16">
        <v>3.9</v>
      </c>
      <c r="L1359" s="16">
        <v>6.23</v>
      </c>
      <c r="M1359" s="16">
        <v>7.73</v>
      </c>
    </row>
    <row r="1360" spans="1:13" outlineLevel="2" x14ac:dyDescent="0.2">
      <c r="A1360" s="3" t="s">
        <v>1463</v>
      </c>
      <c r="E1360" s="18"/>
    </row>
    <row r="1361" spans="1:13" outlineLevel="3" x14ac:dyDescent="0.2">
      <c r="B1361" s="4" t="str">
        <f>"0004710005"</f>
        <v>0004710005</v>
      </c>
      <c r="C1361" s="5" t="str">
        <f>"049551"</f>
        <v>049551</v>
      </c>
      <c r="D1361" s="12" t="s">
        <v>606</v>
      </c>
      <c r="E1361" s="18">
        <v>0.05</v>
      </c>
      <c r="F1361" s="12" t="s">
        <v>607</v>
      </c>
      <c r="G1361" s="15" t="s">
        <v>583</v>
      </c>
      <c r="H1361" s="12" t="s">
        <v>608</v>
      </c>
      <c r="I1361" s="12" t="s">
        <v>609</v>
      </c>
      <c r="K1361" s="16">
        <v>17.48</v>
      </c>
      <c r="L1361" s="16">
        <v>26.97</v>
      </c>
      <c r="M1361" s="16">
        <v>26.49</v>
      </c>
    </row>
    <row r="1362" spans="1:13" outlineLevel="3" x14ac:dyDescent="0.2">
      <c r="B1362" s="4" t="str">
        <f>"0004710005"</f>
        <v>0004710005</v>
      </c>
      <c r="C1362" s="5" t="str">
        <f>"113251"</f>
        <v>113251</v>
      </c>
      <c r="D1362" s="12" t="s">
        <v>610</v>
      </c>
      <c r="E1362" s="18">
        <v>0.05</v>
      </c>
      <c r="F1362" s="12" t="s">
        <v>607</v>
      </c>
      <c r="G1362" s="15" t="s">
        <v>583</v>
      </c>
      <c r="H1362" s="12" t="s">
        <v>608</v>
      </c>
      <c r="I1362" s="12" t="s">
        <v>5</v>
      </c>
      <c r="K1362" s="16">
        <v>17.37</v>
      </c>
      <c r="L1362" s="16">
        <v>26.81</v>
      </c>
      <c r="M1362" s="16">
        <v>26.49</v>
      </c>
    </row>
    <row r="1363" spans="1:13" outlineLevel="3" x14ac:dyDescent="0.2">
      <c r="B1363" s="4" t="str">
        <f>"0004710005"</f>
        <v>0004710005</v>
      </c>
      <c r="C1363" s="5" t="str">
        <f>"124669"</f>
        <v>124669</v>
      </c>
      <c r="D1363" s="12" t="s">
        <v>606</v>
      </c>
      <c r="E1363" s="18">
        <v>0.05</v>
      </c>
      <c r="F1363" s="12" t="s">
        <v>607</v>
      </c>
      <c r="G1363" s="15" t="s">
        <v>583</v>
      </c>
      <c r="H1363" s="12" t="s">
        <v>608</v>
      </c>
      <c r="I1363" s="12" t="s">
        <v>75</v>
      </c>
      <c r="K1363" s="16">
        <v>16.149999999999999</v>
      </c>
      <c r="L1363" s="16">
        <v>24.99</v>
      </c>
      <c r="M1363" s="16">
        <v>26.49</v>
      </c>
    </row>
    <row r="1364" spans="1:13" outlineLevel="1" x14ac:dyDescent="0.2">
      <c r="A1364" s="3"/>
    </row>
    <row r="1365" spans="1:13" outlineLevel="2" x14ac:dyDescent="0.2">
      <c r="A1365" s="3" t="s">
        <v>1464</v>
      </c>
    </row>
    <row r="1366" spans="1:13" outlineLevel="3" x14ac:dyDescent="0.2">
      <c r="B1366" s="4" t="str">
        <f>"0004720014"</f>
        <v>0004720014</v>
      </c>
      <c r="C1366" s="5" t="str">
        <f>"025050"</f>
        <v>025050</v>
      </c>
      <c r="D1366" s="12" t="s">
        <v>611</v>
      </c>
      <c r="E1366" s="14" t="s">
        <v>295</v>
      </c>
      <c r="F1366" s="12" t="s">
        <v>73</v>
      </c>
      <c r="G1366" s="15">
        <v>14</v>
      </c>
      <c r="H1366" s="12" t="s">
        <v>612</v>
      </c>
      <c r="I1366" s="12" t="s">
        <v>58</v>
      </c>
      <c r="K1366" s="16">
        <v>5.5</v>
      </c>
      <c r="L1366" s="16">
        <v>8.7799999999999994</v>
      </c>
      <c r="M1366" s="16">
        <v>10.19</v>
      </c>
    </row>
    <row r="1367" spans="1:13" outlineLevel="3" x14ac:dyDescent="0.2">
      <c r="B1367" s="4" t="str">
        <f>"0004720014"</f>
        <v>0004720014</v>
      </c>
      <c r="C1367" s="5" t="str">
        <f>"036488"</f>
        <v>036488</v>
      </c>
      <c r="D1367" s="12" t="s">
        <v>613</v>
      </c>
      <c r="E1367" s="14" t="s">
        <v>295</v>
      </c>
      <c r="F1367" s="12" t="s">
        <v>73</v>
      </c>
      <c r="G1367" s="15">
        <v>14</v>
      </c>
      <c r="H1367" s="12" t="s">
        <v>612</v>
      </c>
      <c r="I1367" s="12" t="s">
        <v>62</v>
      </c>
      <c r="K1367" s="16">
        <v>5.5</v>
      </c>
      <c r="L1367" s="16">
        <v>8.7799999999999994</v>
      </c>
      <c r="M1367" s="16">
        <v>10.19</v>
      </c>
    </row>
    <row r="1368" spans="1:13" outlineLevel="3" x14ac:dyDescent="0.2">
      <c r="B1368" s="4" t="str">
        <f>"0004720014"</f>
        <v>0004720014</v>
      </c>
      <c r="C1368" s="5" t="str">
        <f>"083340"</f>
        <v>083340</v>
      </c>
      <c r="D1368" s="12" t="s">
        <v>614</v>
      </c>
      <c r="E1368" s="14" t="s">
        <v>295</v>
      </c>
      <c r="F1368" s="12" t="s">
        <v>73</v>
      </c>
      <c r="G1368" s="15">
        <v>14</v>
      </c>
      <c r="H1368" s="12" t="s">
        <v>612</v>
      </c>
      <c r="I1368" s="12" t="s">
        <v>5</v>
      </c>
      <c r="K1368" s="16">
        <v>5.45</v>
      </c>
      <c r="L1368" s="16">
        <v>8.69</v>
      </c>
      <c r="M1368" s="16">
        <v>10.19</v>
      </c>
    </row>
    <row r="1369" spans="1:13" outlineLevel="2" x14ac:dyDescent="0.2"/>
    <row r="1370" spans="1:13" ht="22.5" outlineLevel="3" x14ac:dyDescent="0.2">
      <c r="B1370" s="4" t="str">
        <f>"0004720030"</f>
        <v>0004720030</v>
      </c>
      <c r="C1370" s="5" t="str">
        <f>"023723"</f>
        <v>023723</v>
      </c>
      <c r="D1370" s="12" t="s">
        <v>615</v>
      </c>
      <c r="E1370" s="14" t="s">
        <v>295</v>
      </c>
      <c r="F1370" s="12" t="s">
        <v>73</v>
      </c>
      <c r="G1370" s="15">
        <v>28</v>
      </c>
      <c r="H1370" s="12" t="s">
        <v>612</v>
      </c>
      <c r="I1370" s="12" t="s">
        <v>68</v>
      </c>
      <c r="K1370" s="16">
        <v>11</v>
      </c>
      <c r="L1370" s="16">
        <v>17.350000000000001</v>
      </c>
      <c r="M1370" s="16">
        <v>18.7</v>
      </c>
    </row>
    <row r="1371" spans="1:13" outlineLevel="3" x14ac:dyDescent="0.2">
      <c r="B1371" s="4" t="str">
        <f>"0004720030"</f>
        <v>0004720030</v>
      </c>
      <c r="C1371" s="5" t="str">
        <f>"025095"</f>
        <v>025095</v>
      </c>
      <c r="D1371" s="12" t="s">
        <v>611</v>
      </c>
      <c r="E1371" s="14" t="s">
        <v>295</v>
      </c>
      <c r="F1371" s="12" t="s">
        <v>73</v>
      </c>
      <c r="G1371" s="15">
        <v>28</v>
      </c>
      <c r="H1371" s="12" t="s">
        <v>612</v>
      </c>
      <c r="I1371" s="12" t="s">
        <v>58</v>
      </c>
      <c r="K1371" s="16">
        <v>11</v>
      </c>
      <c r="L1371" s="16">
        <v>17.350000000000001</v>
      </c>
      <c r="M1371" s="16">
        <v>18.7</v>
      </c>
    </row>
    <row r="1372" spans="1:13" outlineLevel="3" x14ac:dyDescent="0.2">
      <c r="B1372" s="4" t="str">
        <f>"0004720030"</f>
        <v>0004720030</v>
      </c>
      <c r="C1372" s="5" t="str">
        <f>"102263"</f>
        <v>102263</v>
      </c>
      <c r="D1372" s="12" t="s">
        <v>613</v>
      </c>
      <c r="E1372" s="14" t="s">
        <v>295</v>
      </c>
      <c r="F1372" s="12" t="s">
        <v>73</v>
      </c>
      <c r="G1372" s="15">
        <v>28</v>
      </c>
      <c r="H1372" s="12" t="s">
        <v>612</v>
      </c>
      <c r="I1372" s="12" t="s">
        <v>62</v>
      </c>
      <c r="K1372" s="16">
        <v>11</v>
      </c>
      <c r="L1372" s="16">
        <v>17.350000000000001</v>
      </c>
      <c r="M1372" s="16">
        <v>18.7</v>
      </c>
    </row>
    <row r="1373" spans="1:13" outlineLevel="3" x14ac:dyDescent="0.2">
      <c r="B1373" s="4" t="str">
        <f>"0004720030"</f>
        <v>0004720030</v>
      </c>
      <c r="C1373" s="5" t="str">
        <f>"499813"</f>
        <v>499813</v>
      </c>
      <c r="D1373" s="12" t="s">
        <v>614</v>
      </c>
      <c r="E1373" s="14" t="s">
        <v>295</v>
      </c>
      <c r="F1373" s="12" t="s">
        <v>73</v>
      </c>
      <c r="G1373" s="15">
        <v>28</v>
      </c>
      <c r="H1373" s="12" t="s">
        <v>612</v>
      </c>
      <c r="I1373" s="12" t="s">
        <v>5</v>
      </c>
      <c r="K1373" s="16">
        <v>10.9</v>
      </c>
      <c r="L1373" s="16">
        <v>17.2</v>
      </c>
      <c r="M1373" s="16">
        <v>18.7</v>
      </c>
    </row>
    <row r="1374" spans="1:13" outlineLevel="2" x14ac:dyDescent="0.2"/>
    <row r="1375" spans="1:13" outlineLevel="3" x14ac:dyDescent="0.2">
      <c r="B1375" s="4" t="str">
        <f>"0004720100"</f>
        <v>0004720100</v>
      </c>
      <c r="C1375" s="5" t="str">
        <f>"031333"</f>
        <v>031333</v>
      </c>
      <c r="D1375" s="12" t="s">
        <v>611</v>
      </c>
      <c r="E1375" s="14" t="s">
        <v>295</v>
      </c>
      <c r="F1375" s="12" t="s">
        <v>73</v>
      </c>
      <c r="G1375" s="15">
        <v>98</v>
      </c>
      <c r="H1375" s="12" t="s">
        <v>612</v>
      </c>
      <c r="I1375" s="12" t="s">
        <v>58</v>
      </c>
      <c r="K1375" s="16">
        <v>31.09</v>
      </c>
      <c r="L1375" s="16">
        <v>47.18</v>
      </c>
      <c r="M1375" s="16">
        <v>49.18</v>
      </c>
    </row>
    <row r="1376" spans="1:13" outlineLevel="3" x14ac:dyDescent="0.2">
      <c r="B1376" s="4" t="str">
        <f>"0004720100"</f>
        <v>0004720100</v>
      </c>
      <c r="C1376" s="5" t="str">
        <f>"080722"</f>
        <v>080722</v>
      </c>
      <c r="D1376" s="12" t="s">
        <v>614</v>
      </c>
      <c r="E1376" s="14" t="s">
        <v>295</v>
      </c>
      <c r="F1376" s="12" t="s">
        <v>73</v>
      </c>
      <c r="G1376" s="15">
        <v>98</v>
      </c>
      <c r="H1376" s="12" t="s">
        <v>612</v>
      </c>
      <c r="I1376" s="12" t="s">
        <v>5</v>
      </c>
      <c r="K1376" s="16">
        <v>31.09</v>
      </c>
      <c r="L1376" s="16">
        <v>47.18</v>
      </c>
      <c r="M1376" s="16">
        <v>49.18</v>
      </c>
    </row>
    <row r="1377" spans="1:13" outlineLevel="3" x14ac:dyDescent="0.2">
      <c r="B1377" s="4" t="str">
        <f>"0004720100"</f>
        <v>0004720100</v>
      </c>
      <c r="C1377" s="5" t="str">
        <f>"587597"</f>
        <v>587597</v>
      </c>
      <c r="D1377" s="12" t="s">
        <v>613</v>
      </c>
      <c r="E1377" s="14" t="s">
        <v>295</v>
      </c>
      <c r="F1377" s="12" t="s">
        <v>73</v>
      </c>
      <c r="G1377" s="15">
        <v>98</v>
      </c>
      <c r="H1377" s="12" t="s">
        <v>612</v>
      </c>
      <c r="I1377" s="12" t="s">
        <v>62</v>
      </c>
      <c r="K1377" s="16">
        <v>31.09</v>
      </c>
      <c r="L1377" s="16">
        <v>47.18</v>
      </c>
      <c r="M1377" s="16">
        <v>49.18</v>
      </c>
    </row>
    <row r="1378" spans="1:13" outlineLevel="1" x14ac:dyDescent="0.2">
      <c r="A1378" s="3"/>
      <c r="E1378" s="18"/>
    </row>
    <row r="1379" spans="1:13" outlineLevel="2" x14ac:dyDescent="0.2">
      <c r="A1379" s="3" t="s">
        <v>1465</v>
      </c>
      <c r="E1379" s="18"/>
    </row>
    <row r="1380" spans="1:13" outlineLevel="3" x14ac:dyDescent="0.2">
      <c r="B1380" s="4" t="str">
        <f>"0007070010"</f>
        <v>0007070010</v>
      </c>
      <c r="C1380" s="5" t="str">
        <f>"081109"</f>
        <v>081109</v>
      </c>
      <c r="D1380" s="12" t="s">
        <v>332</v>
      </c>
      <c r="E1380" s="18">
        <v>0.05</v>
      </c>
      <c r="F1380" s="12" t="s">
        <v>784</v>
      </c>
      <c r="G1380" s="15" t="s">
        <v>785</v>
      </c>
      <c r="H1380" s="12" t="s">
        <v>331</v>
      </c>
      <c r="I1380" s="12" t="s">
        <v>9</v>
      </c>
      <c r="K1380" s="16">
        <v>7.74</v>
      </c>
      <c r="L1380" s="16">
        <v>12.34</v>
      </c>
      <c r="M1380" s="16">
        <v>12.34</v>
      </c>
    </row>
    <row r="1381" spans="1:13" ht="22.5" outlineLevel="3" x14ac:dyDescent="0.2">
      <c r="B1381" s="4" t="str">
        <f>"0007070010"</f>
        <v>0007070010</v>
      </c>
      <c r="C1381" s="5" t="str">
        <f>"029299"</f>
        <v>029299</v>
      </c>
      <c r="D1381" s="12" t="s">
        <v>335</v>
      </c>
      <c r="E1381" s="14" t="s">
        <v>783</v>
      </c>
      <c r="F1381" s="12" t="s">
        <v>784</v>
      </c>
      <c r="G1381" s="15" t="s">
        <v>785</v>
      </c>
      <c r="H1381" s="12" t="s">
        <v>331</v>
      </c>
      <c r="I1381" s="12" t="s">
        <v>60</v>
      </c>
      <c r="K1381" s="16">
        <v>6.79</v>
      </c>
      <c r="L1381" s="16">
        <v>10.84</v>
      </c>
      <c r="M1381" s="16">
        <v>12.34</v>
      </c>
    </row>
    <row r="1382" spans="1:13" outlineLevel="1" x14ac:dyDescent="0.2">
      <c r="A1382" s="3"/>
    </row>
    <row r="1383" spans="1:13" outlineLevel="2" x14ac:dyDescent="0.2">
      <c r="A1383" s="3" t="s">
        <v>1466</v>
      </c>
    </row>
    <row r="1384" spans="1:13" ht="22.5" outlineLevel="3" x14ac:dyDescent="0.2">
      <c r="B1384" s="4" t="str">
        <f>"0007080003"</f>
        <v>0007080003</v>
      </c>
      <c r="C1384" s="5" t="str">
        <f>"556961"</f>
        <v>556961</v>
      </c>
      <c r="D1384" s="12" t="s">
        <v>786</v>
      </c>
      <c r="E1384" s="14" t="s">
        <v>581</v>
      </c>
      <c r="F1384" s="12" t="s">
        <v>787</v>
      </c>
      <c r="G1384" s="15" t="s">
        <v>788</v>
      </c>
      <c r="H1384" s="12" t="s">
        <v>789</v>
      </c>
      <c r="I1384" s="12" t="s">
        <v>9</v>
      </c>
      <c r="K1384" s="16">
        <v>11.95</v>
      </c>
      <c r="L1384" s="16">
        <v>18.760000000000002</v>
      </c>
      <c r="M1384" s="16">
        <v>20.260000000000002</v>
      </c>
    </row>
    <row r="1385" spans="1:13" outlineLevel="1" x14ac:dyDescent="0.2">
      <c r="A1385" s="3"/>
      <c r="E1385" s="18"/>
    </row>
    <row r="1386" spans="1:13" outlineLevel="2" x14ac:dyDescent="0.2">
      <c r="A1386" s="3" t="s">
        <v>1467</v>
      </c>
      <c r="E1386" s="18"/>
    </row>
    <row r="1387" spans="1:13" outlineLevel="3" x14ac:dyDescent="0.2">
      <c r="B1387" s="4" t="str">
        <f>"0007090050"</f>
        <v>0007090050</v>
      </c>
      <c r="C1387" s="5" t="str">
        <f>"007036"</f>
        <v>007036</v>
      </c>
      <c r="D1387" s="12" t="s">
        <v>790</v>
      </c>
      <c r="E1387" s="18">
        <v>0.01</v>
      </c>
      <c r="F1387" s="12" t="s">
        <v>784</v>
      </c>
      <c r="G1387" s="15" t="s">
        <v>791</v>
      </c>
      <c r="H1387" s="12" t="s">
        <v>792</v>
      </c>
      <c r="I1387" s="12" t="s">
        <v>5</v>
      </c>
      <c r="K1387" s="16">
        <v>4.2699999999999996</v>
      </c>
      <c r="L1387" s="16">
        <v>7.6</v>
      </c>
      <c r="M1387" s="16">
        <v>9.1</v>
      </c>
    </row>
    <row r="1388" spans="1:13" outlineLevel="3" x14ac:dyDescent="0.2">
      <c r="B1388" s="4" t="str">
        <f>"0007090050"</f>
        <v>0007090050</v>
      </c>
      <c r="C1388" s="5" t="str">
        <f>"148940"</f>
        <v>148940</v>
      </c>
      <c r="D1388" s="12" t="s">
        <v>793</v>
      </c>
      <c r="E1388" s="18">
        <v>0.01</v>
      </c>
      <c r="F1388" s="12" t="s">
        <v>784</v>
      </c>
      <c r="G1388" s="15" t="s">
        <v>791</v>
      </c>
      <c r="H1388" s="12" t="s">
        <v>792</v>
      </c>
      <c r="I1388" s="12" t="s">
        <v>247</v>
      </c>
      <c r="K1388" s="16">
        <v>4.2699999999999996</v>
      </c>
      <c r="L1388" s="16">
        <v>7.6</v>
      </c>
      <c r="M1388" s="16">
        <v>9.1</v>
      </c>
    </row>
    <row r="1389" spans="1:13" outlineLevel="2" x14ac:dyDescent="0.2">
      <c r="E1389" s="18"/>
    </row>
    <row r="1390" spans="1:13" outlineLevel="3" x14ac:dyDescent="0.2">
      <c r="B1390" s="4" t="str">
        <f>"0007090100"</f>
        <v>0007090100</v>
      </c>
      <c r="C1390" s="5" t="str">
        <f>"037002"</f>
        <v>037002</v>
      </c>
      <c r="D1390" s="12" t="s">
        <v>793</v>
      </c>
      <c r="E1390" s="18">
        <v>0.01</v>
      </c>
      <c r="F1390" s="12" t="s">
        <v>784</v>
      </c>
      <c r="G1390" s="15" t="s">
        <v>621</v>
      </c>
      <c r="H1390" s="12" t="s">
        <v>792</v>
      </c>
      <c r="I1390" s="12" t="s">
        <v>247</v>
      </c>
      <c r="K1390" s="16">
        <v>7.78</v>
      </c>
      <c r="L1390" s="16">
        <v>13.39</v>
      </c>
      <c r="M1390" s="16">
        <v>12.4</v>
      </c>
    </row>
    <row r="1391" spans="1:13" outlineLevel="3" x14ac:dyDescent="0.2">
      <c r="B1391" s="4" t="str">
        <f>"0007090100"</f>
        <v>0007090100</v>
      </c>
      <c r="C1391" s="5" t="str">
        <f>"478818"</f>
        <v>478818</v>
      </c>
      <c r="D1391" s="12" t="s">
        <v>796</v>
      </c>
      <c r="E1391" s="18">
        <v>0.01</v>
      </c>
      <c r="F1391" s="12" t="s">
        <v>784</v>
      </c>
      <c r="G1391" s="15" t="s">
        <v>621</v>
      </c>
      <c r="H1391" s="12" t="s">
        <v>792</v>
      </c>
      <c r="I1391" s="12" t="s">
        <v>58</v>
      </c>
      <c r="K1391" s="16">
        <v>7.78</v>
      </c>
      <c r="L1391" s="16">
        <v>13.39</v>
      </c>
      <c r="M1391" s="16">
        <v>12.4</v>
      </c>
    </row>
    <row r="1392" spans="1:13" outlineLevel="3" x14ac:dyDescent="0.2">
      <c r="B1392" s="4" t="str">
        <f>"0007090100"</f>
        <v>0007090100</v>
      </c>
      <c r="C1392" s="5" t="str">
        <f>"006815"</f>
        <v>006815</v>
      </c>
      <c r="D1392" s="12" t="s">
        <v>790</v>
      </c>
      <c r="E1392" s="18">
        <v>0.01</v>
      </c>
      <c r="F1392" s="12" t="s">
        <v>784</v>
      </c>
      <c r="G1392" s="15" t="s">
        <v>621</v>
      </c>
      <c r="H1392" s="12" t="s">
        <v>792</v>
      </c>
      <c r="I1392" s="12" t="s">
        <v>5</v>
      </c>
      <c r="K1392" s="16">
        <v>6.87</v>
      </c>
      <c r="L1392" s="16">
        <v>11.89</v>
      </c>
      <c r="M1392" s="16">
        <v>12.4</v>
      </c>
    </row>
    <row r="1393" spans="1:13" outlineLevel="3" x14ac:dyDescent="0.2">
      <c r="B1393" s="4" t="str">
        <f>"0007090100"</f>
        <v>0007090100</v>
      </c>
      <c r="C1393" s="5" t="str">
        <f>"153085"</f>
        <v>153085</v>
      </c>
      <c r="D1393" s="12" t="s">
        <v>794</v>
      </c>
      <c r="E1393" s="18">
        <v>0.01</v>
      </c>
      <c r="F1393" s="12" t="s">
        <v>784</v>
      </c>
      <c r="G1393" s="15" t="s">
        <v>621</v>
      </c>
      <c r="H1393" s="12" t="s">
        <v>792</v>
      </c>
      <c r="I1393" s="12" t="s">
        <v>795</v>
      </c>
      <c r="K1393" s="16">
        <v>6.27</v>
      </c>
      <c r="L1393" s="16">
        <v>10.9</v>
      </c>
      <c r="M1393" s="16">
        <v>12.4</v>
      </c>
    </row>
    <row r="1394" spans="1:13" outlineLevel="1" x14ac:dyDescent="0.2">
      <c r="A1394" s="3"/>
    </row>
    <row r="1395" spans="1:13" outlineLevel="2" x14ac:dyDescent="0.2">
      <c r="A1395" s="3" t="s">
        <v>1468</v>
      </c>
    </row>
    <row r="1396" spans="1:13" ht="22.5" outlineLevel="3" x14ac:dyDescent="0.2">
      <c r="B1396" s="4" t="str">
        <f>"0007100050"</f>
        <v>0007100050</v>
      </c>
      <c r="C1396" s="5" t="str">
        <f>"020433"</f>
        <v>020433</v>
      </c>
      <c r="D1396" s="12" t="s">
        <v>797</v>
      </c>
      <c r="E1396" s="14" t="s">
        <v>798</v>
      </c>
      <c r="F1396" s="12" t="s">
        <v>784</v>
      </c>
      <c r="G1396" s="15" t="s">
        <v>791</v>
      </c>
      <c r="H1396" s="12" t="s">
        <v>799</v>
      </c>
      <c r="I1396" s="12" t="s">
        <v>644</v>
      </c>
      <c r="K1396" s="16">
        <v>5.89</v>
      </c>
      <c r="L1396" s="16">
        <v>9.39</v>
      </c>
      <c r="M1396" s="16">
        <v>10.89</v>
      </c>
    </row>
    <row r="1397" spans="1:13" ht="22.5" outlineLevel="3" x14ac:dyDescent="0.2">
      <c r="B1397" s="4" t="str">
        <f>"0007100050"</f>
        <v>0007100050</v>
      </c>
      <c r="C1397" s="5" t="str">
        <f>"180950"</f>
        <v>180950</v>
      </c>
      <c r="D1397" s="12" t="s">
        <v>800</v>
      </c>
      <c r="E1397" s="14" t="s">
        <v>798</v>
      </c>
      <c r="F1397" s="12" t="s">
        <v>784</v>
      </c>
      <c r="G1397" s="15" t="s">
        <v>791</v>
      </c>
      <c r="H1397" s="12" t="s">
        <v>799</v>
      </c>
      <c r="I1397" s="12" t="s">
        <v>58</v>
      </c>
      <c r="K1397" s="16">
        <v>5.89</v>
      </c>
      <c r="L1397" s="16">
        <v>9.39</v>
      </c>
      <c r="M1397" s="16">
        <v>10.89</v>
      </c>
    </row>
    <row r="1398" spans="1:13" outlineLevel="2" x14ac:dyDescent="0.2"/>
    <row r="1399" spans="1:13" ht="22.5" outlineLevel="3" x14ac:dyDescent="0.2">
      <c r="B1399" s="4" t="str">
        <f>"0007100100"</f>
        <v>0007100100</v>
      </c>
      <c r="C1399" s="5" t="str">
        <f>"020457"</f>
        <v>020457</v>
      </c>
      <c r="D1399" s="12" t="s">
        <v>797</v>
      </c>
      <c r="E1399" s="14" t="s">
        <v>798</v>
      </c>
      <c r="F1399" s="12" t="s">
        <v>784</v>
      </c>
      <c r="G1399" s="15" t="s">
        <v>621</v>
      </c>
      <c r="H1399" s="12" t="s">
        <v>799</v>
      </c>
      <c r="I1399" s="12" t="s">
        <v>644</v>
      </c>
      <c r="K1399" s="16">
        <v>11.05</v>
      </c>
      <c r="L1399" s="16">
        <v>17.420000000000002</v>
      </c>
      <c r="M1399" s="16">
        <v>18.920000000000002</v>
      </c>
    </row>
    <row r="1400" spans="1:13" ht="22.5" outlineLevel="3" x14ac:dyDescent="0.2">
      <c r="B1400" s="4" t="str">
        <f>"0007100100"</f>
        <v>0007100100</v>
      </c>
      <c r="C1400" s="5" t="str">
        <f>"180968"</f>
        <v>180968</v>
      </c>
      <c r="D1400" s="12" t="s">
        <v>800</v>
      </c>
      <c r="E1400" s="14" t="s">
        <v>798</v>
      </c>
      <c r="F1400" s="12" t="s">
        <v>784</v>
      </c>
      <c r="G1400" s="15" t="s">
        <v>621</v>
      </c>
      <c r="H1400" s="12" t="s">
        <v>799</v>
      </c>
      <c r="I1400" s="12" t="s">
        <v>58</v>
      </c>
      <c r="K1400" s="16">
        <v>11.05</v>
      </c>
      <c r="L1400" s="16">
        <v>17.420000000000002</v>
      </c>
      <c r="M1400" s="16">
        <v>18.920000000000002</v>
      </c>
    </row>
    <row r="1401" spans="1:13" ht="22.5" outlineLevel="3" x14ac:dyDescent="0.2">
      <c r="B1401" s="4" t="str">
        <f>"0007100100"</f>
        <v>0007100100</v>
      </c>
      <c r="C1401" s="5" t="str">
        <f>"570515"</f>
        <v>570515</v>
      </c>
      <c r="D1401" s="12" t="s">
        <v>797</v>
      </c>
      <c r="E1401" s="14" t="s">
        <v>798</v>
      </c>
      <c r="F1401" s="12" t="s">
        <v>784</v>
      </c>
      <c r="G1401" s="15" t="s">
        <v>621</v>
      </c>
      <c r="H1401" s="12" t="s">
        <v>799</v>
      </c>
      <c r="I1401" s="12" t="s">
        <v>75</v>
      </c>
      <c r="J1401" s="2" t="s">
        <v>1400</v>
      </c>
      <c r="K1401" s="16">
        <v>10.7</v>
      </c>
      <c r="L1401" s="16">
        <v>16.91</v>
      </c>
      <c r="M1401" s="16">
        <v>18.920000000000002</v>
      </c>
    </row>
    <row r="1402" spans="1:13" outlineLevel="1" x14ac:dyDescent="0.2">
      <c r="A1402" s="3"/>
    </row>
    <row r="1403" spans="1:13" outlineLevel="2" x14ac:dyDescent="0.2">
      <c r="A1403" s="3" t="s">
        <v>1469</v>
      </c>
    </row>
    <row r="1404" spans="1:13" outlineLevel="3" x14ac:dyDescent="0.2">
      <c r="B1404" s="4" t="str">
        <f>"0007120050"</f>
        <v>0007120050</v>
      </c>
      <c r="C1404" s="5" t="str">
        <f>"481473"</f>
        <v>481473</v>
      </c>
      <c r="D1404" s="12" t="s">
        <v>801</v>
      </c>
      <c r="E1404" s="14" t="s">
        <v>798</v>
      </c>
      <c r="F1404" s="12" t="s">
        <v>784</v>
      </c>
      <c r="G1404" s="15" t="s">
        <v>791</v>
      </c>
      <c r="H1404" s="12" t="s">
        <v>802</v>
      </c>
      <c r="I1404" s="12" t="s">
        <v>58</v>
      </c>
      <c r="K1404" s="16">
        <v>5.08</v>
      </c>
      <c r="L1404" s="16">
        <v>8.11</v>
      </c>
      <c r="M1404" s="16">
        <v>9.61</v>
      </c>
    </row>
    <row r="1405" spans="1:13" outlineLevel="2" x14ac:dyDescent="0.2"/>
    <row r="1406" spans="1:13" outlineLevel="3" x14ac:dyDescent="0.2">
      <c r="B1406" s="4" t="str">
        <f>"0007120100"</f>
        <v>0007120100</v>
      </c>
      <c r="C1406" s="5" t="str">
        <f>"481549"</f>
        <v>481549</v>
      </c>
      <c r="D1406" s="12" t="s">
        <v>801</v>
      </c>
      <c r="E1406" s="14" t="s">
        <v>798</v>
      </c>
      <c r="F1406" s="12" t="s">
        <v>784</v>
      </c>
      <c r="G1406" s="15" t="s">
        <v>621</v>
      </c>
      <c r="H1406" s="12" t="s">
        <v>802</v>
      </c>
      <c r="I1406" s="12" t="s">
        <v>58</v>
      </c>
      <c r="K1406" s="16">
        <v>9.2799999999999994</v>
      </c>
      <c r="L1406" s="16">
        <v>14.8</v>
      </c>
      <c r="M1406" s="16">
        <v>16.3</v>
      </c>
    </row>
    <row r="1407" spans="1:13" outlineLevel="2" x14ac:dyDescent="0.2"/>
    <row r="1408" spans="1:13" outlineLevel="3" x14ac:dyDescent="0.2">
      <c r="B1408" s="4" t="str">
        <f>"0007130050"</f>
        <v>0007130050</v>
      </c>
      <c r="C1408" s="5" t="str">
        <f>"481663"</f>
        <v>481663</v>
      </c>
      <c r="D1408" s="12" t="s">
        <v>801</v>
      </c>
      <c r="E1408" s="14" t="s">
        <v>798</v>
      </c>
      <c r="F1408" s="12" t="s">
        <v>803</v>
      </c>
      <c r="G1408" s="15" t="s">
        <v>791</v>
      </c>
      <c r="H1408" s="12" t="s">
        <v>802</v>
      </c>
      <c r="I1408" s="12" t="s">
        <v>58</v>
      </c>
      <c r="K1408" s="16">
        <v>5.08</v>
      </c>
      <c r="L1408" s="16">
        <v>8.11</v>
      </c>
      <c r="M1408" s="16">
        <v>9.61</v>
      </c>
    </row>
    <row r="1409" spans="1:13" outlineLevel="2" x14ac:dyDescent="0.2"/>
    <row r="1410" spans="1:13" outlineLevel="3" x14ac:dyDescent="0.2">
      <c r="B1410" s="4" t="str">
        <f>"0007130100"</f>
        <v>0007130100</v>
      </c>
      <c r="C1410" s="5" t="str">
        <f>"481705"</f>
        <v>481705</v>
      </c>
      <c r="D1410" s="12" t="s">
        <v>801</v>
      </c>
      <c r="E1410" s="14" t="s">
        <v>798</v>
      </c>
      <c r="F1410" s="12" t="s">
        <v>803</v>
      </c>
      <c r="G1410" s="15" t="s">
        <v>621</v>
      </c>
      <c r="H1410" s="12" t="s">
        <v>802</v>
      </c>
      <c r="I1410" s="12" t="s">
        <v>58</v>
      </c>
      <c r="K1410" s="16">
        <v>9.2799999999999994</v>
      </c>
      <c r="L1410" s="16">
        <v>14.8</v>
      </c>
      <c r="M1410" s="16">
        <v>16.3</v>
      </c>
    </row>
    <row r="1411" spans="1:13" outlineLevel="2" x14ac:dyDescent="0.2"/>
    <row r="1412" spans="1:13" outlineLevel="3" x14ac:dyDescent="0.2">
      <c r="B1412" s="4" t="str">
        <f>"0007140100"</f>
        <v>0007140100</v>
      </c>
      <c r="C1412" s="5" t="str">
        <f>"457473"</f>
        <v>457473</v>
      </c>
      <c r="D1412" s="12" t="s">
        <v>804</v>
      </c>
      <c r="E1412" s="14" t="s">
        <v>805</v>
      </c>
      <c r="F1412" s="12" t="s">
        <v>806</v>
      </c>
      <c r="G1412" s="15" t="s">
        <v>260</v>
      </c>
      <c r="H1412" s="12" t="s">
        <v>802</v>
      </c>
      <c r="I1412" s="12" t="s">
        <v>9</v>
      </c>
      <c r="K1412" s="16">
        <v>9.2799999999999994</v>
      </c>
      <c r="L1412" s="16">
        <v>14.8</v>
      </c>
      <c r="M1412" s="16">
        <v>16.3</v>
      </c>
    </row>
    <row r="1413" spans="1:13" outlineLevel="3" x14ac:dyDescent="0.2">
      <c r="B1413" s="4" t="str">
        <f>"0007140100"</f>
        <v>0007140100</v>
      </c>
      <c r="C1413" s="5" t="str">
        <f>"482026"</f>
        <v>482026</v>
      </c>
      <c r="D1413" s="12" t="s">
        <v>801</v>
      </c>
      <c r="E1413" s="14" t="s">
        <v>805</v>
      </c>
      <c r="F1413" s="12" t="s">
        <v>807</v>
      </c>
      <c r="G1413" s="15" t="s">
        <v>260</v>
      </c>
      <c r="H1413" s="12" t="s">
        <v>802</v>
      </c>
      <c r="I1413" s="12" t="s">
        <v>58</v>
      </c>
      <c r="K1413" s="16">
        <v>9.2799999999999994</v>
      </c>
      <c r="L1413" s="16">
        <v>14.8</v>
      </c>
      <c r="M1413" s="16">
        <v>16.3</v>
      </c>
    </row>
    <row r="1414" spans="1:13" outlineLevel="1" x14ac:dyDescent="0.2">
      <c r="A1414" s="3"/>
    </row>
    <row r="1415" spans="1:13" outlineLevel="2" x14ac:dyDescent="0.2">
      <c r="A1415" s="3" t="s">
        <v>1470</v>
      </c>
    </row>
    <row r="1416" spans="1:13" ht="22.5" outlineLevel="3" x14ac:dyDescent="0.2">
      <c r="B1416" s="4" t="str">
        <f>"0011230050"</f>
        <v>0011230050</v>
      </c>
      <c r="C1416" s="5" t="str">
        <f>"116400"</f>
        <v>116400</v>
      </c>
      <c r="D1416" s="12" t="s">
        <v>1111</v>
      </c>
      <c r="E1416" s="14" t="s">
        <v>798</v>
      </c>
      <c r="F1416" s="12" t="s">
        <v>803</v>
      </c>
      <c r="G1416" s="15" t="s">
        <v>791</v>
      </c>
      <c r="H1416" s="12" t="s">
        <v>1110</v>
      </c>
      <c r="I1416" s="12" t="s">
        <v>170</v>
      </c>
      <c r="K1416" s="16">
        <v>5.01</v>
      </c>
      <c r="L1416" s="16">
        <v>7.99</v>
      </c>
      <c r="M1416" s="16">
        <v>7.95</v>
      </c>
    </row>
    <row r="1417" spans="1:13" outlineLevel="3" x14ac:dyDescent="0.2">
      <c r="B1417" s="4" t="str">
        <f>"0011230050"</f>
        <v>0011230050</v>
      </c>
      <c r="C1417" s="5" t="str">
        <f>"180473"</f>
        <v>180473</v>
      </c>
      <c r="D1417" s="12" t="s">
        <v>1112</v>
      </c>
      <c r="E1417" s="14" t="s">
        <v>1109</v>
      </c>
      <c r="F1417" s="12" t="s">
        <v>803</v>
      </c>
      <c r="G1417" s="15" t="s">
        <v>791</v>
      </c>
      <c r="H1417" s="12" t="s">
        <v>1110</v>
      </c>
      <c r="I1417" s="12" t="s">
        <v>70</v>
      </c>
      <c r="K1417" s="16">
        <v>4.0599999999999996</v>
      </c>
      <c r="L1417" s="16">
        <v>6.48</v>
      </c>
      <c r="M1417" s="16">
        <v>7.95</v>
      </c>
    </row>
    <row r="1418" spans="1:13" outlineLevel="3" x14ac:dyDescent="0.2">
      <c r="B1418" s="4" t="str">
        <f>"0011230050"</f>
        <v>0011230050</v>
      </c>
      <c r="C1418" s="5" t="str">
        <f>"076316"</f>
        <v>076316</v>
      </c>
      <c r="D1418" s="12" t="s">
        <v>1108</v>
      </c>
      <c r="E1418" s="14" t="s">
        <v>1109</v>
      </c>
      <c r="F1418" s="12" t="s">
        <v>803</v>
      </c>
      <c r="G1418" s="15" t="s">
        <v>791</v>
      </c>
      <c r="H1418" s="12" t="s">
        <v>1110</v>
      </c>
      <c r="I1418" s="12" t="s">
        <v>11</v>
      </c>
      <c r="K1418" s="16">
        <v>4.04</v>
      </c>
      <c r="L1418" s="16">
        <v>6.45</v>
      </c>
      <c r="M1418" s="16">
        <v>7.95</v>
      </c>
    </row>
    <row r="1419" spans="1:13" outlineLevel="2" x14ac:dyDescent="0.2"/>
    <row r="1420" spans="1:13" ht="22.5" outlineLevel="3" x14ac:dyDescent="0.2">
      <c r="B1420" s="4" t="str">
        <f>"0011230100"</f>
        <v>0011230100</v>
      </c>
      <c r="C1420" s="5" t="str">
        <f>"116418"</f>
        <v>116418</v>
      </c>
      <c r="D1420" s="12" t="s">
        <v>1111</v>
      </c>
      <c r="E1420" s="14" t="s">
        <v>798</v>
      </c>
      <c r="F1420" s="12" t="s">
        <v>803</v>
      </c>
      <c r="G1420" s="15" t="s">
        <v>621</v>
      </c>
      <c r="H1420" s="12" t="s">
        <v>1110</v>
      </c>
      <c r="I1420" s="12" t="s">
        <v>170</v>
      </c>
      <c r="K1420" s="16">
        <v>8.92</v>
      </c>
      <c r="L1420" s="16">
        <v>14.22</v>
      </c>
      <c r="M1420" s="16">
        <v>14.16</v>
      </c>
    </row>
    <row r="1421" spans="1:13" outlineLevel="3" x14ac:dyDescent="0.2">
      <c r="B1421" s="4" t="str">
        <f>"0011230100"</f>
        <v>0011230100</v>
      </c>
      <c r="C1421" s="5" t="str">
        <f>"589774"</f>
        <v>589774</v>
      </c>
      <c r="D1421" s="12" t="s">
        <v>1112</v>
      </c>
      <c r="E1421" s="14" t="s">
        <v>1109</v>
      </c>
      <c r="F1421" s="12" t="s">
        <v>803</v>
      </c>
      <c r="G1421" s="15" t="s">
        <v>621</v>
      </c>
      <c r="H1421" s="12" t="s">
        <v>1110</v>
      </c>
      <c r="I1421" s="12" t="s">
        <v>70</v>
      </c>
      <c r="K1421" s="16">
        <v>7.97</v>
      </c>
      <c r="L1421" s="16">
        <v>12.72</v>
      </c>
      <c r="M1421" s="16">
        <v>14.16</v>
      </c>
    </row>
    <row r="1422" spans="1:13" outlineLevel="3" x14ac:dyDescent="0.2">
      <c r="B1422" s="4" t="str">
        <f>"0011230100"</f>
        <v>0011230100</v>
      </c>
      <c r="C1422" s="5" t="str">
        <f>"076327"</f>
        <v>076327</v>
      </c>
      <c r="D1422" s="12" t="s">
        <v>1108</v>
      </c>
      <c r="E1422" s="14" t="s">
        <v>1109</v>
      </c>
      <c r="F1422" s="12" t="s">
        <v>803</v>
      </c>
      <c r="G1422" s="15" t="s">
        <v>621</v>
      </c>
      <c r="H1422" s="12" t="s">
        <v>1110</v>
      </c>
      <c r="I1422" s="12" t="s">
        <v>11</v>
      </c>
      <c r="K1422" s="16">
        <v>7.94</v>
      </c>
      <c r="L1422" s="16">
        <v>12.66</v>
      </c>
      <c r="M1422" s="16">
        <v>14.16</v>
      </c>
    </row>
    <row r="1423" spans="1:13" outlineLevel="2" x14ac:dyDescent="0.2"/>
    <row r="1424" spans="1:13" ht="22.5" outlineLevel="3" x14ac:dyDescent="0.2">
      <c r="B1424" s="4" t="str">
        <f>"0012950050"</f>
        <v>0012950050</v>
      </c>
      <c r="C1424" s="5" t="str">
        <f>"116160"</f>
        <v>116160</v>
      </c>
      <c r="D1424" s="12" t="s">
        <v>1111</v>
      </c>
      <c r="E1424" s="14" t="s">
        <v>798</v>
      </c>
      <c r="F1424" s="12" t="s">
        <v>784</v>
      </c>
      <c r="G1424" s="15" t="s">
        <v>791</v>
      </c>
      <c r="H1424" s="12" t="s">
        <v>1110</v>
      </c>
      <c r="I1424" s="12" t="s">
        <v>170</v>
      </c>
      <c r="K1424" s="16">
        <v>7.94</v>
      </c>
      <c r="L1424" s="16">
        <v>12.66</v>
      </c>
      <c r="M1424" s="16">
        <v>9.09</v>
      </c>
    </row>
    <row r="1425" spans="1:13" outlineLevel="3" x14ac:dyDescent="0.2">
      <c r="B1425" s="4" t="str">
        <f>"0012950050"</f>
        <v>0012950050</v>
      </c>
      <c r="C1425" s="5" t="str">
        <f>"102272"</f>
        <v>102272</v>
      </c>
      <c r="D1425" s="12" t="s">
        <v>1112</v>
      </c>
      <c r="E1425" s="14" t="s">
        <v>1109</v>
      </c>
      <c r="F1425" s="12" t="s">
        <v>784</v>
      </c>
      <c r="G1425" s="15" t="s">
        <v>791</v>
      </c>
      <c r="H1425" s="12" t="s">
        <v>1110</v>
      </c>
      <c r="I1425" s="12" t="s">
        <v>70</v>
      </c>
      <c r="K1425" s="16">
        <v>4.76</v>
      </c>
      <c r="L1425" s="16">
        <v>7.59</v>
      </c>
      <c r="M1425" s="16">
        <v>9.09</v>
      </c>
    </row>
    <row r="1426" spans="1:13" outlineLevel="2" x14ac:dyDescent="0.2"/>
    <row r="1427" spans="1:13" ht="22.5" outlineLevel="3" x14ac:dyDescent="0.2">
      <c r="B1427" s="4" t="str">
        <f>"0012950100"</f>
        <v>0012950100</v>
      </c>
      <c r="C1427" s="5" t="str">
        <f>"116327"</f>
        <v>116327</v>
      </c>
      <c r="D1427" s="12" t="s">
        <v>1111</v>
      </c>
      <c r="E1427" s="14" t="s">
        <v>798</v>
      </c>
      <c r="F1427" s="12" t="s">
        <v>784</v>
      </c>
      <c r="G1427" s="15" t="s">
        <v>621</v>
      </c>
      <c r="H1427" s="12" t="s">
        <v>1110</v>
      </c>
      <c r="I1427" s="12" t="s">
        <v>170</v>
      </c>
      <c r="K1427" s="16">
        <v>14.87</v>
      </c>
      <c r="L1427" s="16">
        <v>23.09</v>
      </c>
      <c r="M1427" s="16">
        <v>15.72</v>
      </c>
    </row>
    <row r="1428" spans="1:13" outlineLevel="3" x14ac:dyDescent="0.2">
      <c r="B1428" s="4" t="str">
        <f>"0012950100"</f>
        <v>0012950100</v>
      </c>
      <c r="C1428" s="5" t="str">
        <f>"182176"</f>
        <v>182176</v>
      </c>
      <c r="D1428" s="12" t="s">
        <v>1112</v>
      </c>
      <c r="E1428" s="14" t="s">
        <v>1109</v>
      </c>
      <c r="F1428" s="12" t="s">
        <v>784</v>
      </c>
      <c r="G1428" s="15" t="s">
        <v>621</v>
      </c>
      <c r="H1428" s="12" t="s">
        <v>1110</v>
      </c>
      <c r="I1428" s="12" t="s">
        <v>70</v>
      </c>
      <c r="K1428" s="16">
        <v>8.92</v>
      </c>
      <c r="L1428" s="16">
        <v>14.22</v>
      </c>
      <c r="M1428" s="16">
        <v>15.72</v>
      </c>
    </row>
    <row r="1429" spans="1:13" outlineLevel="2" x14ac:dyDescent="0.2"/>
    <row r="1430" spans="1:13" ht="22.5" outlineLevel="3" x14ac:dyDescent="0.2">
      <c r="B1430" s="4" t="str">
        <f>"0014090100"</f>
        <v>0014090100</v>
      </c>
      <c r="C1430" s="5" t="str">
        <f>"000448"</f>
        <v>000448</v>
      </c>
      <c r="D1430" s="12" t="s">
        <v>1111</v>
      </c>
      <c r="E1430" s="14" t="s">
        <v>798</v>
      </c>
      <c r="F1430" s="12" t="s">
        <v>806</v>
      </c>
      <c r="G1430" s="15" t="s">
        <v>260</v>
      </c>
      <c r="H1430" s="12" t="s">
        <v>1110</v>
      </c>
      <c r="I1430" s="12" t="s">
        <v>170</v>
      </c>
      <c r="K1430" s="16">
        <v>8.92</v>
      </c>
      <c r="L1430" s="16">
        <v>14.22</v>
      </c>
      <c r="M1430" s="16">
        <v>15.22</v>
      </c>
    </row>
    <row r="1431" spans="1:13" outlineLevel="3" x14ac:dyDescent="0.2">
      <c r="B1431" s="4" t="str">
        <f>"0014090100"</f>
        <v>0014090100</v>
      </c>
      <c r="C1431" s="5" t="str">
        <f>"402203"</f>
        <v>402203</v>
      </c>
      <c r="D1431" s="12" t="s">
        <v>1301</v>
      </c>
      <c r="E1431" s="14" t="s">
        <v>1109</v>
      </c>
      <c r="F1431" s="12" t="s">
        <v>806</v>
      </c>
      <c r="G1431" s="15" t="s">
        <v>260</v>
      </c>
      <c r="H1431" s="12" t="s">
        <v>1110</v>
      </c>
      <c r="I1431" s="12" t="s">
        <v>1302</v>
      </c>
      <c r="K1431" s="16">
        <v>8.6</v>
      </c>
      <c r="L1431" s="16">
        <v>13.72</v>
      </c>
      <c r="M1431" s="16">
        <v>15.22</v>
      </c>
    </row>
    <row r="1432" spans="1:13" outlineLevel="1" x14ac:dyDescent="0.2">
      <c r="A1432" s="3"/>
    </row>
    <row r="1433" spans="1:13" outlineLevel="2" x14ac:dyDescent="0.2">
      <c r="A1433" s="3" t="s">
        <v>1471</v>
      </c>
    </row>
    <row r="1434" spans="1:13" ht="22.5" outlineLevel="3" x14ac:dyDescent="0.2">
      <c r="B1434" s="4" t="str">
        <f>"0007320030"</f>
        <v>0007320030</v>
      </c>
      <c r="C1434" s="5" t="str">
        <f>"018735"</f>
        <v>018735</v>
      </c>
      <c r="D1434" s="12" t="s">
        <v>821</v>
      </c>
      <c r="E1434" s="14" t="s">
        <v>82</v>
      </c>
      <c r="F1434" s="12" t="s">
        <v>822</v>
      </c>
      <c r="G1434" s="15">
        <v>30</v>
      </c>
      <c r="H1434" s="12" t="s">
        <v>823</v>
      </c>
      <c r="I1434" s="12" t="s">
        <v>68</v>
      </c>
      <c r="K1434" s="16">
        <v>12.39</v>
      </c>
      <c r="L1434" s="16">
        <v>19.420000000000002</v>
      </c>
      <c r="M1434" s="16">
        <v>20.92</v>
      </c>
    </row>
    <row r="1435" spans="1:13" outlineLevel="2" x14ac:dyDescent="0.2"/>
    <row r="1436" spans="1:13" ht="22.5" outlineLevel="3" x14ac:dyDescent="0.2">
      <c r="B1436" s="4" t="str">
        <f>"0007320100"</f>
        <v>0007320100</v>
      </c>
      <c r="C1436" s="5" t="str">
        <f>"013236"</f>
        <v>013236</v>
      </c>
      <c r="D1436" s="12" t="s">
        <v>821</v>
      </c>
      <c r="E1436" s="14" t="s">
        <v>82</v>
      </c>
      <c r="F1436" s="12" t="s">
        <v>822</v>
      </c>
      <c r="G1436" s="15">
        <v>100</v>
      </c>
      <c r="H1436" s="12" t="s">
        <v>823</v>
      </c>
      <c r="I1436" s="12" t="s">
        <v>68</v>
      </c>
      <c r="K1436" s="16">
        <v>37.159999999999997</v>
      </c>
      <c r="L1436" s="16">
        <v>56.2</v>
      </c>
      <c r="M1436" s="16">
        <v>58.2</v>
      </c>
    </row>
    <row r="1437" spans="1:13" outlineLevel="3" x14ac:dyDescent="0.2">
      <c r="B1437" s="4" t="str">
        <f>"0007320100"</f>
        <v>0007320100</v>
      </c>
      <c r="C1437" s="5" t="str">
        <f>"087791"</f>
        <v>087791</v>
      </c>
      <c r="D1437" s="12" t="s">
        <v>824</v>
      </c>
      <c r="E1437" s="14" t="s">
        <v>82</v>
      </c>
      <c r="F1437" s="12" t="s">
        <v>822</v>
      </c>
      <c r="G1437" s="15">
        <v>100</v>
      </c>
      <c r="H1437" s="12" t="s">
        <v>823</v>
      </c>
      <c r="I1437" s="12" t="s">
        <v>152</v>
      </c>
      <c r="J1437" s="2" t="s">
        <v>1400</v>
      </c>
      <c r="K1437" s="16">
        <v>36.44</v>
      </c>
      <c r="L1437" s="16">
        <v>55.12</v>
      </c>
      <c r="M1437" s="16">
        <v>58.2</v>
      </c>
    </row>
    <row r="1438" spans="1:13" outlineLevel="2" x14ac:dyDescent="0.2"/>
    <row r="1439" spans="1:13" outlineLevel="3" x14ac:dyDescent="0.2">
      <c r="B1439" s="4" t="str">
        <f>"0007330030"</f>
        <v>0007330030</v>
      </c>
      <c r="C1439" s="5" t="str">
        <f>"497255"</f>
        <v>497255</v>
      </c>
      <c r="D1439" s="12" t="s">
        <v>824</v>
      </c>
      <c r="E1439" s="14" t="s">
        <v>14</v>
      </c>
      <c r="F1439" s="12" t="s">
        <v>822</v>
      </c>
      <c r="G1439" s="15">
        <v>30</v>
      </c>
      <c r="H1439" s="12" t="s">
        <v>823</v>
      </c>
      <c r="I1439" s="12" t="s">
        <v>152</v>
      </c>
      <c r="J1439" s="2" t="s">
        <v>1400</v>
      </c>
      <c r="K1439" s="16">
        <v>21.74</v>
      </c>
      <c r="L1439" s="16">
        <v>33.299999999999997</v>
      </c>
      <c r="M1439" s="16">
        <v>34.799999999999997</v>
      </c>
    </row>
    <row r="1440" spans="1:13" outlineLevel="3" x14ac:dyDescent="0.2">
      <c r="B1440" s="4" t="str">
        <f>"0007330030"</f>
        <v>0007330030</v>
      </c>
      <c r="C1440" s="5" t="str">
        <f>"052745"</f>
        <v>052745</v>
      </c>
      <c r="D1440" s="12" t="s">
        <v>826</v>
      </c>
      <c r="E1440" s="14" t="s">
        <v>14</v>
      </c>
      <c r="F1440" s="12" t="s">
        <v>822</v>
      </c>
      <c r="G1440" s="15">
        <v>30</v>
      </c>
      <c r="H1440" s="12" t="s">
        <v>823</v>
      </c>
      <c r="I1440" s="12" t="s">
        <v>526</v>
      </c>
      <c r="K1440" s="16">
        <v>21.74</v>
      </c>
      <c r="L1440" s="16">
        <v>33.299999999999997</v>
      </c>
      <c r="M1440" s="16">
        <v>34.799999999999997</v>
      </c>
    </row>
    <row r="1441" spans="1:13" ht="22.5" outlineLevel="3" x14ac:dyDescent="0.2">
      <c r="B1441" s="4" t="str">
        <f>"0007330030"</f>
        <v>0007330030</v>
      </c>
      <c r="C1441" s="5" t="str">
        <f>"018963"</f>
        <v>018963</v>
      </c>
      <c r="D1441" s="12" t="s">
        <v>821</v>
      </c>
      <c r="E1441" s="14" t="s">
        <v>14</v>
      </c>
      <c r="F1441" s="12" t="s">
        <v>822</v>
      </c>
      <c r="G1441" s="15">
        <v>30</v>
      </c>
      <c r="H1441" s="12" t="s">
        <v>823</v>
      </c>
      <c r="I1441" s="12" t="s">
        <v>68</v>
      </c>
      <c r="K1441" s="16">
        <v>21.74</v>
      </c>
      <c r="L1441" s="16">
        <v>33.299999999999997</v>
      </c>
      <c r="M1441" s="16">
        <v>34.799999999999997</v>
      </c>
    </row>
    <row r="1442" spans="1:13" outlineLevel="3" x14ac:dyDescent="0.2">
      <c r="B1442" s="4" t="str">
        <f>"0007330030"</f>
        <v>0007330030</v>
      </c>
      <c r="C1442" s="5" t="str">
        <f>"023114"</f>
        <v>023114</v>
      </c>
      <c r="D1442" s="12" t="s">
        <v>827</v>
      </c>
      <c r="E1442" s="14" t="s">
        <v>14</v>
      </c>
      <c r="F1442" s="12" t="s">
        <v>822</v>
      </c>
      <c r="G1442" s="15">
        <v>30</v>
      </c>
      <c r="H1442" s="12" t="s">
        <v>823</v>
      </c>
      <c r="I1442" s="12" t="s">
        <v>5</v>
      </c>
      <c r="K1442" s="16">
        <v>21.74</v>
      </c>
      <c r="L1442" s="16">
        <v>33.299999999999997</v>
      </c>
      <c r="M1442" s="16">
        <v>34.799999999999997</v>
      </c>
    </row>
    <row r="1443" spans="1:13" ht="22.5" outlineLevel="3" x14ac:dyDescent="0.2">
      <c r="B1443" s="4" t="str">
        <f>"0007330030"</f>
        <v>0007330030</v>
      </c>
      <c r="C1443" s="5" t="str">
        <f>"034370"</f>
        <v>034370</v>
      </c>
      <c r="D1443" s="12" t="s">
        <v>825</v>
      </c>
      <c r="E1443" s="14" t="s">
        <v>14</v>
      </c>
      <c r="F1443" s="12" t="s">
        <v>822</v>
      </c>
      <c r="G1443" s="15">
        <v>30</v>
      </c>
      <c r="H1443" s="12" t="s">
        <v>823</v>
      </c>
      <c r="I1443" s="12" t="s">
        <v>293</v>
      </c>
      <c r="J1443" s="2" t="s">
        <v>1400</v>
      </c>
      <c r="K1443" s="16">
        <v>16.79</v>
      </c>
      <c r="L1443" s="16">
        <v>25.95</v>
      </c>
      <c r="M1443" s="16">
        <v>34.799999999999997</v>
      </c>
    </row>
    <row r="1444" spans="1:13" outlineLevel="2" x14ac:dyDescent="0.2"/>
    <row r="1445" spans="1:13" outlineLevel="3" x14ac:dyDescent="0.2">
      <c r="B1445" s="4" t="str">
        <f>"0007330060"</f>
        <v>0007330060</v>
      </c>
      <c r="C1445" s="5" t="str">
        <f>"023125"</f>
        <v>023125</v>
      </c>
      <c r="D1445" s="12" t="s">
        <v>827</v>
      </c>
      <c r="E1445" s="14" t="s">
        <v>14</v>
      </c>
      <c r="F1445" s="12" t="s">
        <v>822</v>
      </c>
      <c r="G1445" s="15">
        <v>60</v>
      </c>
      <c r="H1445" s="12" t="s">
        <v>823</v>
      </c>
      <c r="I1445" s="12" t="s">
        <v>5</v>
      </c>
      <c r="K1445" s="16">
        <v>36.24</v>
      </c>
      <c r="L1445" s="16">
        <v>54.82</v>
      </c>
      <c r="M1445" s="16">
        <v>56.82</v>
      </c>
    </row>
    <row r="1446" spans="1:13" ht="22.5" outlineLevel="3" x14ac:dyDescent="0.2">
      <c r="B1446" s="4" t="str">
        <f>"0007330060"</f>
        <v>0007330060</v>
      </c>
      <c r="C1446" s="5" t="str">
        <f>"034352"</f>
        <v>034352</v>
      </c>
      <c r="D1446" s="12" t="s">
        <v>825</v>
      </c>
      <c r="E1446" s="14" t="s">
        <v>14</v>
      </c>
      <c r="F1446" s="12" t="s">
        <v>822</v>
      </c>
      <c r="G1446" s="15">
        <v>60</v>
      </c>
      <c r="H1446" s="12" t="s">
        <v>823</v>
      </c>
      <c r="I1446" s="12" t="s">
        <v>293</v>
      </c>
      <c r="J1446" s="2" t="s">
        <v>1400</v>
      </c>
      <c r="K1446" s="16">
        <v>29.39</v>
      </c>
      <c r="L1446" s="16">
        <v>44.66</v>
      </c>
      <c r="M1446" s="16">
        <v>56.82</v>
      </c>
    </row>
    <row r="1447" spans="1:13" outlineLevel="2" x14ac:dyDescent="0.2"/>
    <row r="1448" spans="1:13" outlineLevel="3" x14ac:dyDescent="0.2">
      <c r="B1448" s="4" t="str">
        <f>"0007330100"</f>
        <v>0007330100</v>
      </c>
      <c r="C1448" s="5" t="str">
        <f>"069930"</f>
        <v>069930</v>
      </c>
      <c r="D1448" s="12" t="s">
        <v>824</v>
      </c>
      <c r="E1448" s="14" t="s">
        <v>14</v>
      </c>
      <c r="F1448" s="12" t="s">
        <v>822</v>
      </c>
      <c r="G1448" s="15">
        <v>100</v>
      </c>
      <c r="H1448" s="12" t="s">
        <v>823</v>
      </c>
      <c r="I1448" s="12" t="s">
        <v>152</v>
      </c>
      <c r="J1448" s="2" t="s">
        <v>1400</v>
      </c>
      <c r="K1448" s="16">
        <v>65.209999999999994</v>
      </c>
      <c r="L1448" s="16">
        <v>95.76</v>
      </c>
      <c r="M1448" s="16">
        <v>62.59</v>
      </c>
    </row>
    <row r="1449" spans="1:13" ht="22.5" outlineLevel="3" x14ac:dyDescent="0.2">
      <c r="B1449" s="4" t="str">
        <f>"0007330100"</f>
        <v>0007330100</v>
      </c>
      <c r="C1449" s="5" t="str">
        <f>"013258"</f>
        <v>013258</v>
      </c>
      <c r="D1449" s="12" t="s">
        <v>821</v>
      </c>
      <c r="E1449" s="14" t="s">
        <v>14</v>
      </c>
      <c r="F1449" s="12" t="s">
        <v>822</v>
      </c>
      <c r="G1449" s="15">
        <v>100</v>
      </c>
      <c r="H1449" s="12" t="s">
        <v>823</v>
      </c>
      <c r="I1449" s="12" t="s">
        <v>68</v>
      </c>
      <c r="K1449" s="16">
        <v>40.119999999999997</v>
      </c>
      <c r="L1449" s="16">
        <v>60.59</v>
      </c>
      <c r="M1449" s="16">
        <v>62.59</v>
      </c>
    </row>
    <row r="1450" spans="1:13" outlineLevel="3" x14ac:dyDescent="0.2">
      <c r="B1450" s="4" t="str">
        <f>"0007330100"</f>
        <v>0007330100</v>
      </c>
      <c r="C1450" s="5" t="str">
        <f>"025810"</f>
        <v>025810</v>
      </c>
      <c r="D1450" s="12" t="s">
        <v>826</v>
      </c>
      <c r="E1450" s="14" t="s">
        <v>14</v>
      </c>
      <c r="F1450" s="12" t="s">
        <v>822</v>
      </c>
      <c r="G1450" s="15">
        <v>100</v>
      </c>
      <c r="H1450" s="12" t="s">
        <v>823</v>
      </c>
      <c r="I1450" s="12" t="s">
        <v>526</v>
      </c>
      <c r="K1450" s="16">
        <v>40.119999999999997</v>
      </c>
      <c r="L1450" s="16">
        <v>60.59</v>
      </c>
      <c r="M1450" s="16">
        <v>62.59</v>
      </c>
    </row>
    <row r="1451" spans="1:13" ht="22.5" outlineLevel="3" x14ac:dyDescent="0.2">
      <c r="B1451" s="4" t="str">
        <f>"0007330100"</f>
        <v>0007330100</v>
      </c>
      <c r="C1451" s="5" t="str">
        <f>"034361"</f>
        <v>034361</v>
      </c>
      <c r="D1451" s="12" t="s">
        <v>825</v>
      </c>
      <c r="E1451" s="14" t="s">
        <v>14</v>
      </c>
      <c r="F1451" s="12" t="s">
        <v>822</v>
      </c>
      <c r="G1451" s="15">
        <v>100</v>
      </c>
      <c r="H1451" s="12" t="s">
        <v>823</v>
      </c>
      <c r="I1451" s="12" t="s">
        <v>293</v>
      </c>
      <c r="J1451" s="2" t="s">
        <v>1400</v>
      </c>
      <c r="K1451" s="16">
        <v>35.58</v>
      </c>
      <c r="L1451" s="16">
        <v>53.85</v>
      </c>
      <c r="M1451" s="16">
        <v>62.59</v>
      </c>
    </row>
    <row r="1452" spans="1:13" outlineLevel="1" x14ac:dyDescent="0.2">
      <c r="A1452" s="3"/>
    </row>
    <row r="1453" spans="1:13" outlineLevel="2" x14ac:dyDescent="0.2">
      <c r="A1453" s="3" t="s">
        <v>1472</v>
      </c>
    </row>
    <row r="1454" spans="1:13" ht="22.5" outlineLevel="3" x14ac:dyDescent="0.2">
      <c r="B1454" s="4" t="str">
        <f>"0008790030"</f>
        <v>0008790030</v>
      </c>
      <c r="C1454" s="5" t="str">
        <f>"524454"</f>
        <v>524454</v>
      </c>
      <c r="D1454" s="12" t="s">
        <v>933</v>
      </c>
      <c r="E1454" s="14" t="s">
        <v>649</v>
      </c>
      <c r="F1454" s="12" t="s">
        <v>220</v>
      </c>
      <c r="G1454" s="15">
        <v>28</v>
      </c>
      <c r="H1454" s="12" t="s">
        <v>934</v>
      </c>
      <c r="I1454" s="12" t="s">
        <v>41</v>
      </c>
      <c r="K1454" s="16">
        <v>2.89</v>
      </c>
      <c r="L1454" s="16">
        <v>4.6100000000000003</v>
      </c>
      <c r="M1454" s="16">
        <v>6.11</v>
      </c>
    </row>
    <row r="1455" spans="1:13" outlineLevel="2" x14ac:dyDescent="0.2"/>
    <row r="1456" spans="1:13" ht="22.5" outlineLevel="3" x14ac:dyDescent="0.2">
      <c r="B1456" s="4" t="str">
        <f>"0008790084"</f>
        <v>0008790084</v>
      </c>
      <c r="C1456" s="5" t="str">
        <f>"524470"</f>
        <v>524470</v>
      </c>
      <c r="D1456" s="12" t="s">
        <v>933</v>
      </c>
      <c r="E1456" s="14" t="s">
        <v>649</v>
      </c>
      <c r="F1456" s="12" t="s">
        <v>220</v>
      </c>
      <c r="G1456" s="15" t="s">
        <v>935</v>
      </c>
      <c r="H1456" s="12" t="s">
        <v>934</v>
      </c>
      <c r="I1456" s="12" t="s">
        <v>41</v>
      </c>
      <c r="K1456" s="16">
        <v>7.77</v>
      </c>
      <c r="L1456" s="16">
        <v>12.4</v>
      </c>
      <c r="M1456" s="16">
        <v>13.9</v>
      </c>
    </row>
    <row r="1457" spans="1:13" outlineLevel="1" x14ac:dyDescent="0.2">
      <c r="A1457" s="3"/>
    </row>
    <row r="1458" spans="1:13" outlineLevel="2" x14ac:dyDescent="0.2">
      <c r="A1458" s="3" t="s">
        <v>1473</v>
      </c>
    </row>
    <row r="1459" spans="1:13" outlineLevel="3" x14ac:dyDescent="0.2">
      <c r="B1459" s="4" t="str">
        <f>"0011490084"</f>
        <v>0011490084</v>
      </c>
      <c r="C1459" s="5" t="str">
        <f>"061481"</f>
        <v>061481</v>
      </c>
      <c r="D1459" s="12" t="s">
        <v>1140</v>
      </c>
      <c r="E1459" s="14" t="s">
        <v>136</v>
      </c>
      <c r="F1459" s="12" t="s">
        <v>73</v>
      </c>
      <c r="G1459" s="15" t="s">
        <v>935</v>
      </c>
      <c r="H1459" s="12" t="s">
        <v>1141</v>
      </c>
      <c r="I1459" s="12" t="s">
        <v>629</v>
      </c>
      <c r="K1459" s="16">
        <v>23.47</v>
      </c>
      <c r="L1459" s="16">
        <v>35.86</v>
      </c>
      <c r="M1459" s="16">
        <v>35.630000000000003</v>
      </c>
    </row>
    <row r="1460" spans="1:13" outlineLevel="3" x14ac:dyDescent="0.2">
      <c r="B1460" s="4" t="str">
        <f>"0011490084"</f>
        <v>0011490084</v>
      </c>
      <c r="C1460" s="5" t="str">
        <f>"481423"</f>
        <v>481423</v>
      </c>
      <c r="D1460" s="12" t="s">
        <v>1143</v>
      </c>
      <c r="E1460" s="14" t="s">
        <v>136</v>
      </c>
      <c r="F1460" s="12" t="s">
        <v>73</v>
      </c>
      <c r="G1460" s="15" t="s">
        <v>935</v>
      </c>
      <c r="H1460" s="12" t="s">
        <v>1141</v>
      </c>
      <c r="I1460" s="12" t="s">
        <v>70</v>
      </c>
      <c r="K1460" s="16">
        <v>23.31</v>
      </c>
      <c r="L1460" s="16">
        <v>35.630000000000003</v>
      </c>
      <c r="M1460" s="16">
        <v>35.630000000000003</v>
      </c>
    </row>
    <row r="1461" spans="1:13" ht="22.5" outlineLevel="3" x14ac:dyDescent="0.2">
      <c r="B1461" s="4" t="str">
        <f>"0011490084"</f>
        <v>0011490084</v>
      </c>
      <c r="C1461" s="5" t="str">
        <f>"094053"</f>
        <v>094053</v>
      </c>
      <c r="D1461" s="12" t="s">
        <v>1142</v>
      </c>
      <c r="E1461" s="14" t="s">
        <v>136</v>
      </c>
      <c r="F1461" s="12" t="s">
        <v>73</v>
      </c>
      <c r="G1461" s="15" t="s">
        <v>935</v>
      </c>
      <c r="H1461" s="12" t="s">
        <v>1141</v>
      </c>
      <c r="I1461" s="12" t="s">
        <v>293</v>
      </c>
      <c r="K1461" s="16">
        <v>22.3</v>
      </c>
      <c r="L1461" s="16">
        <v>34.130000000000003</v>
      </c>
      <c r="M1461" s="16">
        <v>35.630000000000003</v>
      </c>
    </row>
    <row r="1462" spans="1:13" outlineLevel="1" x14ac:dyDescent="0.2">
      <c r="A1462" s="3"/>
    </row>
    <row r="1463" spans="1:13" outlineLevel="2" x14ac:dyDescent="0.2">
      <c r="A1463" s="3" t="s">
        <v>1474</v>
      </c>
    </row>
    <row r="1464" spans="1:13" ht="33.75" outlineLevel="3" x14ac:dyDescent="0.2">
      <c r="B1464" s="4" t="str">
        <f>"0011430084"</f>
        <v>0011430084</v>
      </c>
      <c r="C1464" s="5" t="str">
        <f>"095906"</f>
        <v>095906</v>
      </c>
      <c r="D1464" s="12" t="s">
        <v>1136</v>
      </c>
      <c r="E1464" s="14" t="s">
        <v>1137</v>
      </c>
      <c r="F1464" s="12" t="s">
        <v>73</v>
      </c>
      <c r="G1464" s="15">
        <v>84</v>
      </c>
      <c r="H1464" s="12" t="s">
        <v>1138</v>
      </c>
      <c r="I1464" s="12" t="s">
        <v>1139</v>
      </c>
      <c r="K1464" s="16">
        <v>10.55</v>
      </c>
      <c r="L1464" s="16">
        <v>16.68</v>
      </c>
      <c r="M1464" s="16">
        <v>18.18</v>
      </c>
    </row>
    <row r="1465" spans="1:13" outlineLevel="1" x14ac:dyDescent="0.2">
      <c r="A1465" s="3"/>
    </row>
    <row r="1466" spans="1:13" outlineLevel="2" x14ac:dyDescent="0.2">
      <c r="A1466" s="3" t="s">
        <v>1475</v>
      </c>
    </row>
    <row r="1467" spans="1:13" ht="22.5" outlineLevel="3" x14ac:dyDescent="0.2">
      <c r="B1467" s="4" t="str">
        <f>"0001690021"</f>
        <v>0001690021</v>
      </c>
      <c r="C1467" s="5" t="str">
        <f>"425362"</f>
        <v>425362</v>
      </c>
      <c r="D1467" s="12" t="s">
        <v>223</v>
      </c>
      <c r="E1467" s="14" t="s">
        <v>224</v>
      </c>
      <c r="F1467" s="12" t="s">
        <v>220</v>
      </c>
      <c r="G1467" s="15">
        <v>21</v>
      </c>
      <c r="H1467" s="12" t="s">
        <v>221</v>
      </c>
      <c r="I1467" s="12" t="s">
        <v>5</v>
      </c>
      <c r="K1467" s="16">
        <v>4.38</v>
      </c>
      <c r="L1467" s="16">
        <v>6.99</v>
      </c>
      <c r="M1467" s="16">
        <v>7.73</v>
      </c>
    </row>
    <row r="1468" spans="1:13" ht="22.5" outlineLevel="3" x14ac:dyDescent="0.2">
      <c r="B1468" s="4" t="str">
        <f>"0001690021"</f>
        <v>0001690021</v>
      </c>
      <c r="C1468" s="5" t="str">
        <f>"037205"</f>
        <v>037205</v>
      </c>
      <c r="D1468" s="12" t="s">
        <v>218</v>
      </c>
      <c r="E1468" s="14" t="s">
        <v>219</v>
      </c>
      <c r="F1468" s="12" t="s">
        <v>220</v>
      </c>
      <c r="G1468" s="15">
        <v>21</v>
      </c>
      <c r="H1468" s="12" t="s">
        <v>221</v>
      </c>
      <c r="I1468" s="12" t="s">
        <v>222</v>
      </c>
      <c r="K1468" s="16">
        <v>3.9</v>
      </c>
      <c r="L1468" s="16">
        <v>6.23</v>
      </c>
      <c r="M1468" s="16">
        <v>7.73</v>
      </c>
    </row>
    <row r="1469" spans="1:13" outlineLevel="2" x14ac:dyDescent="0.2"/>
    <row r="1470" spans="1:13" ht="22.5" outlineLevel="3" x14ac:dyDescent="0.2">
      <c r="B1470" s="4" t="str">
        <f>"0001690063"</f>
        <v>0001690063</v>
      </c>
      <c r="C1470" s="5" t="str">
        <f>"169276"</f>
        <v>169276</v>
      </c>
      <c r="D1470" s="12" t="s">
        <v>226</v>
      </c>
      <c r="F1470" s="12" t="s">
        <v>220</v>
      </c>
      <c r="G1470" s="15" t="s">
        <v>225</v>
      </c>
      <c r="H1470" s="12" t="s">
        <v>221</v>
      </c>
      <c r="I1470" s="12" t="s">
        <v>227</v>
      </c>
      <c r="K1470" s="16">
        <v>11.93</v>
      </c>
      <c r="L1470" s="16">
        <v>18.73</v>
      </c>
      <c r="M1470" s="16">
        <v>15.86</v>
      </c>
    </row>
    <row r="1471" spans="1:13" ht="22.5" outlineLevel="3" x14ac:dyDescent="0.2">
      <c r="B1471" s="4" t="str">
        <f>"0001690063"</f>
        <v>0001690063</v>
      </c>
      <c r="C1471" s="5" t="str">
        <f>"545176"</f>
        <v>545176</v>
      </c>
      <c r="D1471" s="12" t="s">
        <v>223</v>
      </c>
      <c r="E1471" s="14" t="s">
        <v>224</v>
      </c>
      <c r="F1471" s="12" t="s">
        <v>220</v>
      </c>
      <c r="G1471" s="15" t="s">
        <v>225</v>
      </c>
      <c r="H1471" s="12" t="s">
        <v>221</v>
      </c>
      <c r="I1471" s="12" t="s">
        <v>5</v>
      </c>
      <c r="K1471" s="16">
        <v>10.49</v>
      </c>
      <c r="L1471" s="16">
        <v>16.59</v>
      </c>
      <c r="M1471" s="16">
        <v>15.86</v>
      </c>
    </row>
    <row r="1472" spans="1:13" ht="22.5" outlineLevel="3" x14ac:dyDescent="0.2">
      <c r="B1472" s="4" t="str">
        <f>"0001690063"</f>
        <v>0001690063</v>
      </c>
      <c r="C1472" s="5" t="str">
        <f>"037214"</f>
        <v>037214</v>
      </c>
      <c r="D1472" s="12" t="s">
        <v>218</v>
      </c>
      <c r="E1472" s="14" t="s">
        <v>219</v>
      </c>
      <c r="F1472" s="12" t="s">
        <v>220</v>
      </c>
      <c r="G1472" s="15" t="s">
        <v>225</v>
      </c>
      <c r="H1472" s="12" t="s">
        <v>221</v>
      </c>
      <c r="I1472" s="12" t="s">
        <v>222</v>
      </c>
      <c r="K1472" s="16">
        <v>9</v>
      </c>
      <c r="L1472" s="16">
        <v>14.36</v>
      </c>
      <c r="M1472" s="16">
        <v>15.86</v>
      </c>
    </row>
    <row r="1473" spans="1:13" outlineLevel="1" x14ac:dyDescent="0.2">
      <c r="A1473" s="3"/>
    </row>
    <row r="1474" spans="1:13" outlineLevel="2" x14ac:dyDescent="0.2">
      <c r="A1474" s="3" t="s">
        <v>1476</v>
      </c>
    </row>
    <row r="1475" spans="1:13" ht="22.5" outlineLevel="3" x14ac:dyDescent="0.2">
      <c r="B1475" s="4" t="str">
        <f t="shared" ref="B1475:B1480" si="61">"0013360030"</f>
        <v>0013360030</v>
      </c>
      <c r="C1475" s="5" t="str">
        <f>"002531"</f>
        <v>002531</v>
      </c>
      <c r="D1475" s="12" t="s">
        <v>1248</v>
      </c>
      <c r="E1475" s="14" t="s">
        <v>179</v>
      </c>
      <c r="F1475" s="12" t="s">
        <v>642</v>
      </c>
      <c r="G1475" s="15">
        <v>30</v>
      </c>
      <c r="H1475" s="12" t="s">
        <v>1247</v>
      </c>
      <c r="I1475" s="12" t="s">
        <v>240</v>
      </c>
      <c r="K1475" s="16">
        <v>19.059999999999999</v>
      </c>
      <c r="L1475" s="16">
        <v>29.32</v>
      </c>
      <c r="M1475" s="16">
        <v>28.93</v>
      </c>
    </row>
    <row r="1476" spans="1:13" ht="22.5" outlineLevel="3" x14ac:dyDescent="0.2">
      <c r="B1476" s="4" t="str">
        <f t="shared" si="61"/>
        <v>0013360030</v>
      </c>
      <c r="C1476" s="5" t="str">
        <f>"066082"</f>
        <v>066082</v>
      </c>
      <c r="D1476" s="12" t="s">
        <v>1249</v>
      </c>
      <c r="E1476" s="14" t="s">
        <v>179</v>
      </c>
      <c r="F1476" s="12" t="s">
        <v>642</v>
      </c>
      <c r="G1476" s="15">
        <v>30</v>
      </c>
      <c r="H1476" s="12" t="s">
        <v>1247</v>
      </c>
      <c r="I1476" s="12" t="s">
        <v>68</v>
      </c>
      <c r="K1476" s="16">
        <v>18.8</v>
      </c>
      <c r="L1476" s="16">
        <v>28.93</v>
      </c>
      <c r="M1476" s="16">
        <v>28.93</v>
      </c>
    </row>
    <row r="1477" spans="1:13" ht="22.5" outlineLevel="3" x14ac:dyDescent="0.2">
      <c r="B1477" s="4" t="str">
        <f t="shared" si="61"/>
        <v>0013360030</v>
      </c>
      <c r="C1477" s="5" t="str">
        <f>"409855"</f>
        <v>409855</v>
      </c>
      <c r="D1477" s="12" t="s">
        <v>1246</v>
      </c>
      <c r="E1477" s="14" t="s">
        <v>179</v>
      </c>
      <c r="F1477" s="12" t="s">
        <v>642</v>
      </c>
      <c r="G1477" s="15">
        <v>28</v>
      </c>
      <c r="H1477" s="12" t="s">
        <v>1247</v>
      </c>
      <c r="I1477" s="12" t="s">
        <v>11</v>
      </c>
      <c r="J1477" s="2" t="s">
        <v>1400</v>
      </c>
      <c r="K1477" s="16">
        <v>17.79</v>
      </c>
      <c r="L1477" s="16">
        <v>27.43</v>
      </c>
      <c r="M1477" s="16">
        <v>28.93</v>
      </c>
    </row>
    <row r="1478" spans="1:13" ht="22.5" outlineLevel="3" x14ac:dyDescent="0.2">
      <c r="B1478" s="4" t="str">
        <f t="shared" si="61"/>
        <v>0013360030</v>
      </c>
      <c r="C1478" s="5" t="str">
        <f>"170489"</f>
        <v>170489</v>
      </c>
      <c r="D1478" s="12" t="s">
        <v>1250</v>
      </c>
      <c r="E1478" s="14" t="s">
        <v>179</v>
      </c>
      <c r="F1478" s="12" t="s">
        <v>642</v>
      </c>
      <c r="G1478" s="15">
        <v>28</v>
      </c>
      <c r="H1478" s="12" t="s">
        <v>1247</v>
      </c>
      <c r="I1478" s="12" t="s">
        <v>70</v>
      </c>
      <c r="K1478" s="16">
        <v>17.79</v>
      </c>
      <c r="L1478" s="16">
        <v>27.43</v>
      </c>
      <c r="M1478" s="16">
        <v>28.93</v>
      </c>
    </row>
    <row r="1479" spans="1:13" ht="22.5" outlineLevel="3" x14ac:dyDescent="0.2">
      <c r="B1479" s="4" t="str">
        <f t="shared" si="61"/>
        <v>0013360030</v>
      </c>
      <c r="C1479" s="5" t="str">
        <f>"420868"</f>
        <v>420868</v>
      </c>
      <c r="D1479" s="12" t="s">
        <v>1251</v>
      </c>
      <c r="E1479" s="14" t="s">
        <v>179</v>
      </c>
      <c r="F1479" s="12" t="s">
        <v>642</v>
      </c>
      <c r="G1479" s="15">
        <v>28</v>
      </c>
      <c r="H1479" s="12" t="s">
        <v>1247</v>
      </c>
      <c r="I1479" s="12" t="s">
        <v>240</v>
      </c>
      <c r="K1479" s="16">
        <v>17.79</v>
      </c>
      <c r="L1479" s="16">
        <v>27.43</v>
      </c>
      <c r="M1479" s="16">
        <v>28.93</v>
      </c>
    </row>
    <row r="1480" spans="1:13" ht="22.5" outlineLevel="3" x14ac:dyDescent="0.2">
      <c r="B1480" s="4" t="str">
        <f t="shared" si="61"/>
        <v>0013360030</v>
      </c>
      <c r="C1480" s="5" t="str">
        <f>"561986"</f>
        <v>561986</v>
      </c>
      <c r="D1480" s="12" t="s">
        <v>1252</v>
      </c>
      <c r="E1480" s="14" t="s">
        <v>179</v>
      </c>
      <c r="F1480" s="12" t="s">
        <v>642</v>
      </c>
      <c r="G1480" s="15">
        <v>28</v>
      </c>
      <c r="H1480" s="12" t="s">
        <v>1247</v>
      </c>
      <c r="I1480" s="12" t="s">
        <v>5</v>
      </c>
      <c r="K1480" s="16">
        <v>17.79</v>
      </c>
      <c r="L1480" s="16">
        <v>27.43</v>
      </c>
      <c r="M1480" s="16">
        <v>28.93</v>
      </c>
    </row>
    <row r="1481" spans="1:13" outlineLevel="2" x14ac:dyDescent="0.2"/>
    <row r="1482" spans="1:13" ht="22.5" outlineLevel="3" x14ac:dyDescent="0.2">
      <c r="B1482" s="4" t="str">
        <f t="shared" ref="B1482:B1487" si="62">"0013360100"</f>
        <v>0013360100</v>
      </c>
      <c r="C1482" s="5" t="str">
        <f>"004891"</f>
        <v>004891</v>
      </c>
      <c r="D1482" s="12" t="s">
        <v>1248</v>
      </c>
      <c r="E1482" s="14" t="s">
        <v>179</v>
      </c>
      <c r="F1482" s="12" t="s">
        <v>642</v>
      </c>
      <c r="G1482" s="15">
        <v>100</v>
      </c>
      <c r="H1482" s="12" t="s">
        <v>1247</v>
      </c>
      <c r="I1482" s="12" t="s">
        <v>240</v>
      </c>
      <c r="K1482" s="16">
        <v>63.03</v>
      </c>
      <c r="L1482" s="16">
        <v>92.76</v>
      </c>
      <c r="M1482" s="16">
        <v>93.03</v>
      </c>
    </row>
    <row r="1483" spans="1:13" ht="22.5" outlineLevel="3" x14ac:dyDescent="0.2">
      <c r="B1483" s="4" t="str">
        <f t="shared" si="62"/>
        <v>0013360100</v>
      </c>
      <c r="C1483" s="5" t="str">
        <f>"148158"</f>
        <v>148158</v>
      </c>
      <c r="D1483" s="12" t="s">
        <v>1249</v>
      </c>
      <c r="E1483" s="14" t="s">
        <v>179</v>
      </c>
      <c r="F1483" s="12" t="s">
        <v>642</v>
      </c>
      <c r="G1483" s="15">
        <v>100</v>
      </c>
      <c r="H1483" s="12" t="s">
        <v>1247</v>
      </c>
      <c r="I1483" s="12" t="s">
        <v>68</v>
      </c>
      <c r="K1483" s="16">
        <v>63.03</v>
      </c>
      <c r="L1483" s="16">
        <v>92.76</v>
      </c>
      <c r="M1483" s="16">
        <v>93.03</v>
      </c>
    </row>
    <row r="1484" spans="1:13" ht="22.5" outlineLevel="3" x14ac:dyDescent="0.2">
      <c r="B1484" s="4" t="str">
        <f t="shared" si="62"/>
        <v>0013360100</v>
      </c>
      <c r="C1484" s="5" t="str">
        <f>"464695"</f>
        <v>464695</v>
      </c>
      <c r="D1484" s="12" t="s">
        <v>1251</v>
      </c>
      <c r="E1484" s="14" t="s">
        <v>179</v>
      </c>
      <c r="F1484" s="12" t="s">
        <v>642</v>
      </c>
      <c r="G1484" s="15">
        <v>100</v>
      </c>
      <c r="H1484" s="12" t="s">
        <v>1247</v>
      </c>
      <c r="I1484" s="12" t="s">
        <v>240</v>
      </c>
      <c r="K1484" s="16">
        <v>63.03</v>
      </c>
      <c r="L1484" s="16">
        <v>92.76</v>
      </c>
      <c r="M1484" s="16">
        <v>93.03</v>
      </c>
    </row>
    <row r="1485" spans="1:13" ht="22.5" outlineLevel="3" x14ac:dyDescent="0.2">
      <c r="B1485" s="4" t="str">
        <f t="shared" si="62"/>
        <v>0013360100</v>
      </c>
      <c r="C1485" s="5" t="str">
        <f>"524198"</f>
        <v>524198</v>
      </c>
      <c r="D1485" s="12" t="s">
        <v>1252</v>
      </c>
      <c r="E1485" s="14" t="s">
        <v>179</v>
      </c>
      <c r="F1485" s="12" t="s">
        <v>642</v>
      </c>
      <c r="G1485" s="15">
        <v>100</v>
      </c>
      <c r="H1485" s="12" t="s">
        <v>1247</v>
      </c>
      <c r="I1485" s="12" t="s">
        <v>5</v>
      </c>
      <c r="K1485" s="16">
        <v>63.03</v>
      </c>
      <c r="L1485" s="16">
        <v>92.76</v>
      </c>
      <c r="M1485" s="16">
        <v>93.03</v>
      </c>
    </row>
    <row r="1486" spans="1:13" ht="22.5" outlineLevel="3" x14ac:dyDescent="0.2">
      <c r="B1486" s="4" t="str">
        <f t="shared" si="62"/>
        <v>0013360100</v>
      </c>
      <c r="C1486" s="5" t="str">
        <f>"441678"</f>
        <v>441678</v>
      </c>
      <c r="D1486" s="12" t="s">
        <v>1246</v>
      </c>
      <c r="E1486" s="14" t="s">
        <v>179</v>
      </c>
      <c r="F1486" s="12" t="s">
        <v>642</v>
      </c>
      <c r="G1486" s="15">
        <v>98</v>
      </c>
      <c r="H1486" s="12" t="s">
        <v>1247</v>
      </c>
      <c r="I1486" s="12" t="s">
        <v>11</v>
      </c>
      <c r="J1486" s="2" t="s">
        <v>1400</v>
      </c>
      <c r="K1486" s="16">
        <v>61.77</v>
      </c>
      <c r="L1486" s="16">
        <v>91.03</v>
      </c>
      <c r="M1486" s="16">
        <v>93.03</v>
      </c>
    </row>
    <row r="1487" spans="1:13" ht="22.5" outlineLevel="3" x14ac:dyDescent="0.2">
      <c r="B1487" s="4" t="str">
        <f t="shared" si="62"/>
        <v>0013360100</v>
      </c>
      <c r="C1487" s="5" t="str">
        <f>"069707"</f>
        <v>069707</v>
      </c>
      <c r="D1487" s="12" t="s">
        <v>1250</v>
      </c>
      <c r="E1487" s="14" t="s">
        <v>179</v>
      </c>
      <c r="F1487" s="12" t="s">
        <v>642</v>
      </c>
      <c r="G1487" s="15">
        <v>98</v>
      </c>
      <c r="H1487" s="12" t="s">
        <v>1247</v>
      </c>
      <c r="I1487" s="12" t="s">
        <v>70</v>
      </c>
      <c r="K1487" s="16">
        <v>61.77</v>
      </c>
      <c r="L1487" s="16">
        <v>91.03</v>
      </c>
      <c r="M1487" s="16">
        <v>93.03</v>
      </c>
    </row>
    <row r="1488" spans="1:13" outlineLevel="1" x14ac:dyDescent="0.2">
      <c r="A1488" s="3"/>
    </row>
    <row r="1489" spans="1:13" outlineLevel="2" x14ac:dyDescent="0.2">
      <c r="A1489" s="3" t="s">
        <v>1477</v>
      </c>
    </row>
    <row r="1490" spans="1:13" ht="22.5" outlineLevel="3" x14ac:dyDescent="0.2">
      <c r="B1490" s="4" t="str">
        <f>"0007390060"</f>
        <v>0007390060</v>
      </c>
      <c r="C1490" s="5" t="str">
        <f>"009049"</f>
        <v>009049</v>
      </c>
      <c r="D1490" s="12" t="s">
        <v>831</v>
      </c>
      <c r="E1490" s="14" t="s">
        <v>14</v>
      </c>
      <c r="F1490" s="12" t="s">
        <v>220</v>
      </c>
      <c r="G1490" s="15">
        <v>60</v>
      </c>
      <c r="H1490" s="12" t="s">
        <v>832</v>
      </c>
      <c r="I1490" s="12" t="s">
        <v>833</v>
      </c>
      <c r="K1490" s="16">
        <v>15.64</v>
      </c>
      <c r="L1490" s="16">
        <v>24.23</v>
      </c>
      <c r="M1490" s="16">
        <v>25.73</v>
      </c>
    </row>
    <row r="1491" spans="1:13" ht="33.75" outlineLevel="3" x14ac:dyDescent="0.2">
      <c r="B1491" s="4" t="str">
        <f>"0007390060"</f>
        <v>0007390060</v>
      </c>
      <c r="C1491" s="5" t="str">
        <f>"044976"</f>
        <v>044976</v>
      </c>
      <c r="D1491" s="12" t="s">
        <v>834</v>
      </c>
      <c r="E1491" s="14" t="s">
        <v>14</v>
      </c>
      <c r="F1491" s="12" t="s">
        <v>3</v>
      </c>
      <c r="G1491" s="15">
        <v>60</v>
      </c>
      <c r="H1491" s="12" t="s">
        <v>832</v>
      </c>
      <c r="I1491" s="12" t="s">
        <v>556</v>
      </c>
      <c r="K1491" s="16">
        <v>15.64</v>
      </c>
      <c r="L1491" s="16">
        <v>24.23</v>
      </c>
      <c r="M1491" s="16">
        <v>25.73</v>
      </c>
    </row>
    <row r="1492" spans="1:13" outlineLevel="1" x14ac:dyDescent="0.2">
      <c r="A1492" s="3"/>
    </row>
    <row r="1493" spans="1:13" outlineLevel="2" x14ac:dyDescent="0.2">
      <c r="A1493" s="3" t="s">
        <v>1478</v>
      </c>
    </row>
    <row r="1494" spans="1:13" outlineLevel="3" x14ac:dyDescent="0.2">
      <c r="B1494" s="4" t="str">
        <f>"0009080024"</f>
        <v>0009080024</v>
      </c>
      <c r="C1494" s="5" t="str">
        <f>"078244"</f>
        <v>078244</v>
      </c>
      <c r="D1494" s="12" t="s">
        <v>947</v>
      </c>
      <c r="E1494" s="14" t="s">
        <v>106</v>
      </c>
      <c r="F1494" s="12" t="s">
        <v>73</v>
      </c>
      <c r="G1494" s="15">
        <v>24</v>
      </c>
      <c r="H1494" s="12" t="s">
        <v>948</v>
      </c>
      <c r="I1494" s="12" t="s">
        <v>70</v>
      </c>
      <c r="K1494" s="16">
        <v>32.43</v>
      </c>
      <c r="L1494" s="16">
        <v>49.17</v>
      </c>
      <c r="M1494" s="16">
        <v>51.17</v>
      </c>
    </row>
    <row r="1495" spans="1:13" outlineLevel="2" x14ac:dyDescent="0.2"/>
    <row r="1496" spans="1:13" outlineLevel="3" x14ac:dyDescent="0.2">
      <c r="B1496" s="4" t="str">
        <f>"0009080030"</f>
        <v>0009080030</v>
      </c>
      <c r="C1496" s="5" t="str">
        <f>"514417"</f>
        <v>514417</v>
      </c>
      <c r="D1496" s="12" t="s">
        <v>947</v>
      </c>
      <c r="E1496" s="14" t="s">
        <v>106</v>
      </c>
      <c r="F1496" s="12" t="s">
        <v>73</v>
      </c>
      <c r="G1496" s="15">
        <v>28</v>
      </c>
      <c r="H1496" s="12" t="s">
        <v>948</v>
      </c>
      <c r="I1496" s="12" t="s">
        <v>70</v>
      </c>
      <c r="K1496" s="16">
        <v>32.43</v>
      </c>
      <c r="L1496" s="16">
        <v>49.17</v>
      </c>
      <c r="M1496" s="16">
        <v>51.17</v>
      </c>
    </row>
    <row r="1497" spans="1:13" outlineLevel="2" x14ac:dyDescent="0.2"/>
    <row r="1498" spans="1:13" ht="33.75" outlineLevel="3" x14ac:dyDescent="0.2">
      <c r="B1498" s="4" t="str">
        <f t="shared" ref="B1498:B1508" si="63">"0009200012"</f>
        <v>0009200012</v>
      </c>
      <c r="C1498" s="5" t="str">
        <f>"520379"</f>
        <v>520379</v>
      </c>
      <c r="D1498" s="12" t="s">
        <v>965</v>
      </c>
      <c r="E1498" s="14" t="s">
        <v>118</v>
      </c>
      <c r="F1498" s="12" t="s">
        <v>3</v>
      </c>
      <c r="G1498" s="15">
        <v>12</v>
      </c>
      <c r="H1498" s="12" t="s">
        <v>948</v>
      </c>
      <c r="I1498" s="12" t="s">
        <v>966</v>
      </c>
      <c r="K1498" s="16">
        <v>54.83</v>
      </c>
      <c r="L1498" s="16">
        <v>81.489999999999995</v>
      </c>
      <c r="M1498" s="16">
        <v>4.8600000000000003</v>
      </c>
    </row>
    <row r="1499" spans="1:13" ht="33.75" outlineLevel="3" x14ac:dyDescent="0.2">
      <c r="B1499" s="4" t="str">
        <f t="shared" si="63"/>
        <v>0009200012</v>
      </c>
      <c r="C1499" s="5" t="str">
        <f>"064520"</f>
        <v>064520</v>
      </c>
      <c r="D1499" s="12" t="s">
        <v>959</v>
      </c>
      <c r="E1499" s="14" t="s">
        <v>118</v>
      </c>
      <c r="F1499" s="12" t="s">
        <v>3</v>
      </c>
      <c r="G1499" s="15">
        <v>12</v>
      </c>
      <c r="H1499" s="12" t="s">
        <v>948</v>
      </c>
      <c r="I1499" s="12" t="s">
        <v>68</v>
      </c>
      <c r="K1499" s="16">
        <v>3.05</v>
      </c>
      <c r="L1499" s="16">
        <v>4.8600000000000003</v>
      </c>
      <c r="M1499" s="16">
        <v>4.8600000000000003</v>
      </c>
    </row>
    <row r="1500" spans="1:13" ht="33.75" outlineLevel="3" x14ac:dyDescent="0.2">
      <c r="B1500" s="4" t="str">
        <f t="shared" si="63"/>
        <v>0009200012</v>
      </c>
      <c r="C1500" s="5" t="str">
        <f>"076293"</f>
        <v>076293</v>
      </c>
      <c r="D1500" s="12" t="s">
        <v>960</v>
      </c>
      <c r="E1500" s="14" t="s">
        <v>118</v>
      </c>
      <c r="F1500" s="12" t="s">
        <v>3</v>
      </c>
      <c r="G1500" s="15">
        <v>12</v>
      </c>
      <c r="H1500" s="12" t="s">
        <v>948</v>
      </c>
      <c r="I1500" s="12" t="s">
        <v>509</v>
      </c>
      <c r="K1500" s="16">
        <v>3.05</v>
      </c>
      <c r="L1500" s="16">
        <v>4.8600000000000003</v>
      </c>
      <c r="M1500" s="16">
        <v>4.8600000000000003</v>
      </c>
    </row>
    <row r="1501" spans="1:13" ht="33.75" outlineLevel="3" x14ac:dyDescent="0.2">
      <c r="B1501" s="4" t="str">
        <f t="shared" si="63"/>
        <v>0009200012</v>
      </c>
      <c r="C1501" s="5" t="str">
        <f>"081931"</f>
        <v>081931</v>
      </c>
      <c r="D1501" s="12" t="s">
        <v>961</v>
      </c>
      <c r="E1501" s="14" t="s">
        <v>118</v>
      </c>
      <c r="F1501" s="12" t="s">
        <v>3</v>
      </c>
      <c r="G1501" s="15">
        <v>12</v>
      </c>
      <c r="H1501" s="12" t="s">
        <v>948</v>
      </c>
      <c r="I1501" s="12" t="s">
        <v>5</v>
      </c>
      <c r="K1501" s="16">
        <v>3.05</v>
      </c>
      <c r="L1501" s="16">
        <v>4.8600000000000003</v>
      </c>
      <c r="M1501" s="16">
        <v>4.8600000000000003</v>
      </c>
    </row>
    <row r="1502" spans="1:13" outlineLevel="3" x14ac:dyDescent="0.2">
      <c r="B1502" s="4" t="str">
        <f t="shared" si="63"/>
        <v>0009200012</v>
      </c>
      <c r="C1502" s="5" t="str">
        <f>"139761"</f>
        <v>139761</v>
      </c>
      <c r="D1502" s="12" t="s">
        <v>962</v>
      </c>
      <c r="E1502" s="14" t="s">
        <v>118</v>
      </c>
      <c r="F1502" s="12" t="s">
        <v>689</v>
      </c>
      <c r="G1502" s="15">
        <v>12</v>
      </c>
      <c r="H1502" s="12" t="s">
        <v>948</v>
      </c>
      <c r="I1502" s="12" t="s">
        <v>28</v>
      </c>
      <c r="K1502" s="16">
        <v>3.05</v>
      </c>
      <c r="L1502" s="16">
        <v>4.8600000000000003</v>
      </c>
      <c r="M1502" s="16">
        <v>4.8600000000000003</v>
      </c>
    </row>
    <row r="1503" spans="1:13" ht="33.75" outlineLevel="3" x14ac:dyDescent="0.2">
      <c r="B1503" s="4" t="str">
        <f t="shared" si="63"/>
        <v>0009200012</v>
      </c>
      <c r="C1503" s="5" t="str">
        <f>"166989"</f>
        <v>166989</v>
      </c>
      <c r="D1503" s="12" t="s">
        <v>962</v>
      </c>
      <c r="E1503" s="14" t="s">
        <v>118</v>
      </c>
      <c r="F1503" s="12" t="s">
        <v>3</v>
      </c>
      <c r="G1503" s="15">
        <v>12</v>
      </c>
      <c r="H1503" s="12" t="s">
        <v>948</v>
      </c>
      <c r="I1503" s="12" t="s">
        <v>28</v>
      </c>
      <c r="K1503" s="16">
        <v>3.05</v>
      </c>
      <c r="L1503" s="16">
        <v>4.8600000000000003</v>
      </c>
      <c r="M1503" s="16">
        <v>4.8600000000000003</v>
      </c>
    </row>
    <row r="1504" spans="1:13" ht="33.75" outlineLevel="3" x14ac:dyDescent="0.2">
      <c r="B1504" s="4" t="str">
        <f t="shared" si="63"/>
        <v>0009200012</v>
      </c>
      <c r="C1504" s="5" t="str">
        <f>"463481"</f>
        <v>463481</v>
      </c>
      <c r="D1504" s="12" t="s">
        <v>963</v>
      </c>
      <c r="E1504" s="14" t="s">
        <v>118</v>
      </c>
      <c r="F1504" s="12" t="s">
        <v>3</v>
      </c>
      <c r="G1504" s="15">
        <v>12</v>
      </c>
      <c r="H1504" s="12" t="s">
        <v>948</v>
      </c>
      <c r="I1504" s="12" t="s">
        <v>240</v>
      </c>
      <c r="K1504" s="16">
        <v>3.05</v>
      </c>
      <c r="L1504" s="16">
        <v>4.8600000000000003</v>
      </c>
      <c r="M1504" s="16">
        <v>4.8600000000000003</v>
      </c>
    </row>
    <row r="1505" spans="1:13" ht="22.5" outlineLevel="3" x14ac:dyDescent="0.2">
      <c r="B1505" s="4" t="str">
        <f t="shared" si="63"/>
        <v>0009200012</v>
      </c>
      <c r="C1505" s="5" t="str">
        <f>"497824"</f>
        <v>497824</v>
      </c>
      <c r="D1505" s="12" t="s">
        <v>960</v>
      </c>
      <c r="E1505" s="14" t="s">
        <v>118</v>
      </c>
      <c r="F1505" s="12" t="s">
        <v>432</v>
      </c>
      <c r="G1505" s="15" t="s">
        <v>964</v>
      </c>
      <c r="H1505" s="12" t="s">
        <v>948</v>
      </c>
      <c r="I1505" s="12" t="s">
        <v>509</v>
      </c>
      <c r="K1505" s="16">
        <v>3.05</v>
      </c>
      <c r="L1505" s="16">
        <v>4.8600000000000003</v>
      </c>
      <c r="M1505" s="16">
        <v>4.8600000000000003</v>
      </c>
    </row>
    <row r="1506" spans="1:13" outlineLevel="3" x14ac:dyDescent="0.2">
      <c r="B1506" s="4" t="str">
        <f t="shared" si="63"/>
        <v>0009200012</v>
      </c>
      <c r="C1506" s="5" t="str">
        <f>"082465"</f>
        <v>082465</v>
      </c>
      <c r="D1506" s="12" t="s">
        <v>947</v>
      </c>
      <c r="E1506" s="14" t="s">
        <v>118</v>
      </c>
      <c r="F1506" s="12" t="s">
        <v>73</v>
      </c>
      <c r="G1506" s="15">
        <v>12</v>
      </c>
      <c r="H1506" s="12" t="s">
        <v>948</v>
      </c>
      <c r="I1506" s="12" t="s">
        <v>70</v>
      </c>
      <c r="K1506" s="16">
        <v>3.04</v>
      </c>
      <c r="L1506" s="16">
        <v>4.8499999999999996</v>
      </c>
      <c r="M1506" s="16">
        <v>4.8600000000000003</v>
      </c>
    </row>
    <row r="1507" spans="1:13" ht="33.75" outlineLevel="3" x14ac:dyDescent="0.2">
      <c r="B1507" s="4" t="str">
        <f t="shared" si="63"/>
        <v>0009200012</v>
      </c>
      <c r="C1507" s="5" t="str">
        <f>"587110"</f>
        <v>587110</v>
      </c>
      <c r="D1507" s="12" t="s">
        <v>967</v>
      </c>
      <c r="E1507" s="14" t="s">
        <v>118</v>
      </c>
      <c r="F1507" s="12" t="s">
        <v>3</v>
      </c>
      <c r="G1507" s="15">
        <v>12</v>
      </c>
      <c r="H1507" s="12" t="s">
        <v>948</v>
      </c>
      <c r="I1507" s="12" t="s">
        <v>60</v>
      </c>
      <c r="K1507" s="16">
        <v>2.1</v>
      </c>
      <c r="L1507" s="16">
        <v>3.36</v>
      </c>
      <c r="M1507" s="16">
        <v>4.8600000000000003</v>
      </c>
    </row>
    <row r="1508" spans="1:13" ht="33.75" outlineLevel="3" x14ac:dyDescent="0.2">
      <c r="B1508" s="4" t="str">
        <f t="shared" si="63"/>
        <v>0009200012</v>
      </c>
      <c r="C1508" s="5" t="str">
        <f>"417820"</f>
        <v>417820</v>
      </c>
      <c r="D1508" s="12" t="s">
        <v>958</v>
      </c>
      <c r="E1508" s="14" t="s">
        <v>118</v>
      </c>
      <c r="F1508" s="12" t="s">
        <v>3</v>
      </c>
      <c r="G1508" s="15">
        <v>12</v>
      </c>
      <c r="H1508" s="12" t="s">
        <v>948</v>
      </c>
      <c r="I1508" s="12" t="s">
        <v>79</v>
      </c>
      <c r="J1508" s="2" t="s">
        <v>1400</v>
      </c>
      <c r="K1508" s="16">
        <v>1.25</v>
      </c>
      <c r="L1508" s="16">
        <v>1.99</v>
      </c>
      <c r="M1508" s="16">
        <v>4.8600000000000003</v>
      </c>
    </row>
    <row r="1509" spans="1:13" outlineLevel="2" x14ac:dyDescent="0.2"/>
    <row r="1510" spans="1:13" ht="33.75" outlineLevel="3" x14ac:dyDescent="0.2">
      <c r="B1510" s="4" t="str">
        <f>"0009200024"</f>
        <v>0009200024</v>
      </c>
      <c r="C1510" s="5" t="str">
        <f>"072417"</f>
        <v>072417</v>
      </c>
      <c r="D1510" s="12" t="s">
        <v>962</v>
      </c>
      <c r="E1510" s="14" t="s">
        <v>118</v>
      </c>
      <c r="F1510" s="12" t="s">
        <v>3</v>
      </c>
      <c r="G1510" s="15">
        <v>24</v>
      </c>
      <c r="H1510" s="12" t="s">
        <v>948</v>
      </c>
      <c r="I1510" s="12" t="s">
        <v>28</v>
      </c>
      <c r="K1510" s="16">
        <v>7.07</v>
      </c>
      <c r="L1510" s="16">
        <v>11.28</v>
      </c>
      <c r="M1510" s="16">
        <v>12.78</v>
      </c>
    </row>
    <row r="1511" spans="1:13" outlineLevel="3" x14ac:dyDescent="0.2">
      <c r="B1511" s="4" t="str">
        <f>"0009200024"</f>
        <v>0009200024</v>
      </c>
      <c r="C1511" s="5" t="str">
        <f>"395860"</f>
        <v>395860</v>
      </c>
      <c r="D1511" s="12" t="s">
        <v>947</v>
      </c>
      <c r="E1511" s="14" t="s">
        <v>118</v>
      </c>
      <c r="F1511" s="12" t="s">
        <v>73</v>
      </c>
      <c r="G1511" s="15">
        <v>24</v>
      </c>
      <c r="H1511" s="12" t="s">
        <v>948</v>
      </c>
      <c r="I1511" s="12" t="s">
        <v>70</v>
      </c>
      <c r="K1511" s="16">
        <v>7.07</v>
      </c>
      <c r="L1511" s="16">
        <v>11.28</v>
      </c>
      <c r="M1511" s="16">
        <v>12.78</v>
      </c>
    </row>
    <row r="1512" spans="1:13" ht="33.75" outlineLevel="3" x14ac:dyDescent="0.2">
      <c r="B1512" s="4" t="str">
        <f>"0009200024"</f>
        <v>0009200024</v>
      </c>
      <c r="C1512" s="5" t="str">
        <f>"437083"</f>
        <v>437083</v>
      </c>
      <c r="D1512" s="12" t="s">
        <v>963</v>
      </c>
      <c r="E1512" s="14" t="s">
        <v>118</v>
      </c>
      <c r="F1512" s="12" t="s">
        <v>3</v>
      </c>
      <c r="G1512" s="15">
        <v>24</v>
      </c>
      <c r="H1512" s="12" t="s">
        <v>948</v>
      </c>
      <c r="I1512" s="12" t="s">
        <v>240</v>
      </c>
      <c r="K1512" s="16">
        <v>7.07</v>
      </c>
      <c r="L1512" s="16">
        <v>11.28</v>
      </c>
      <c r="M1512" s="16">
        <v>12.78</v>
      </c>
    </row>
    <row r="1513" spans="1:13" ht="33.75" outlineLevel="3" x14ac:dyDescent="0.2">
      <c r="B1513" s="4" t="str">
        <f>"0009200024"</f>
        <v>0009200024</v>
      </c>
      <c r="C1513" s="5" t="str">
        <f>"452643"</f>
        <v>452643</v>
      </c>
      <c r="D1513" s="12" t="s">
        <v>961</v>
      </c>
      <c r="E1513" s="14" t="s">
        <v>118</v>
      </c>
      <c r="F1513" s="12" t="s">
        <v>3</v>
      </c>
      <c r="G1513" s="15">
        <v>24</v>
      </c>
      <c r="H1513" s="12" t="s">
        <v>948</v>
      </c>
      <c r="I1513" s="12" t="s">
        <v>5</v>
      </c>
      <c r="K1513" s="16">
        <v>7.07</v>
      </c>
      <c r="L1513" s="16">
        <v>11.28</v>
      </c>
      <c r="M1513" s="16">
        <v>12.78</v>
      </c>
    </row>
    <row r="1514" spans="1:13" outlineLevel="3" x14ac:dyDescent="0.2">
      <c r="B1514" s="4" t="str">
        <f>"0009200024"</f>
        <v>0009200024</v>
      </c>
      <c r="C1514" s="5" t="str">
        <f>"548980"</f>
        <v>548980</v>
      </c>
      <c r="D1514" s="12" t="s">
        <v>962</v>
      </c>
      <c r="E1514" s="14" t="s">
        <v>118</v>
      </c>
      <c r="F1514" s="12" t="s">
        <v>689</v>
      </c>
      <c r="G1514" s="15">
        <v>24</v>
      </c>
      <c r="H1514" s="12" t="s">
        <v>948</v>
      </c>
      <c r="I1514" s="12" t="s">
        <v>28</v>
      </c>
      <c r="K1514" s="16">
        <v>7.07</v>
      </c>
      <c r="L1514" s="16">
        <v>11.28</v>
      </c>
      <c r="M1514" s="16">
        <v>12.78</v>
      </c>
    </row>
    <row r="1515" spans="1:13" outlineLevel="2" x14ac:dyDescent="0.2"/>
    <row r="1516" spans="1:13" outlineLevel="3" x14ac:dyDescent="0.2">
      <c r="B1516" s="4" t="str">
        <f>"0009200030"</f>
        <v>0009200030</v>
      </c>
      <c r="C1516" s="5" t="str">
        <f>"472487"</f>
        <v>472487</v>
      </c>
      <c r="D1516" s="12" t="s">
        <v>947</v>
      </c>
      <c r="E1516" s="14" t="s">
        <v>118</v>
      </c>
      <c r="F1516" s="12" t="s">
        <v>73</v>
      </c>
      <c r="G1516" s="15">
        <v>28</v>
      </c>
      <c r="H1516" s="12" t="s">
        <v>948</v>
      </c>
      <c r="I1516" s="12" t="s">
        <v>70</v>
      </c>
      <c r="K1516" s="16">
        <v>7.14</v>
      </c>
      <c r="L1516" s="16">
        <v>11.39</v>
      </c>
      <c r="M1516" s="16">
        <v>12.89</v>
      </c>
    </row>
    <row r="1517" spans="1:13" outlineLevel="1" x14ac:dyDescent="0.2">
      <c r="A1517" s="3"/>
    </row>
    <row r="1518" spans="1:13" outlineLevel="2" x14ac:dyDescent="0.2">
      <c r="A1518" s="3" t="s">
        <v>1479</v>
      </c>
    </row>
    <row r="1519" spans="1:13" outlineLevel="3" x14ac:dyDescent="0.2">
      <c r="B1519" s="4" t="str">
        <f>"0007710030"</f>
        <v>0007710030</v>
      </c>
      <c r="C1519" s="5" t="str">
        <f>"050297"</f>
        <v>050297</v>
      </c>
      <c r="D1519" s="12" t="s">
        <v>849</v>
      </c>
      <c r="E1519" s="14" t="s">
        <v>82</v>
      </c>
      <c r="F1519" s="12" t="s">
        <v>441</v>
      </c>
      <c r="G1519" s="15">
        <v>30</v>
      </c>
      <c r="H1519" s="12" t="s">
        <v>850</v>
      </c>
      <c r="I1519" s="12" t="s">
        <v>5</v>
      </c>
      <c r="K1519" s="16">
        <v>14.72</v>
      </c>
      <c r="L1519" s="16">
        <v>22.87</v>
      </c>
      <c r="M1519" s="16">
        <v>24.37</v>
      </c>
    </row>
    <row r="1520" spans="1:13" outlineLevel="3" x14ac:dyDescent="0.2">
      <c r="B1520" s="4" t="str">
        <f>"0007710030"</f>
        <v>0007710030</v>
      </c>
      <c r="C1520" s="5" t="str">
        <f>"566042"</f>
        <v>566042</v>
      </c>
      <c r="D1520" s="12" t="s">
        <v>851</v>
      </c>
      <c r="E1520" s="14" t="s">
        <v>82</v>
      </c>
      <c r="F1520" s="12" t="s">
        <v>441</v>
      </c>
      <c r="G1520" s="15">
        <v>30</v>
      </c>
      <c r="H1520" s="12" t="s">
        <v>850</v>
      </c>
      <c r="I1520" s="12" t="s">
        <v>187</v>
      </c>
      <c r="K1520" s="16">
        <v>14.72</v>
      </c>
      <c r="L1520" s="16">
        <v>22.87</v>
      </c>
      <c r="M1520" s="16">
        <v>24.37</v>
      </c>
    </row>
    <row r="1521" spans="1:13" outlineLevel="2" x14ac:dyDescent="0.2"/>
    <row r="1522" spans="1:13" outlineLevel="3" x14ac:dyDescent="0.2">
      <c r="B1522" s="4" t="str">
        <f>"0007710090"</f>
        <v>0007710090</v>
      </c>
      <c r="C1522" s="5" t="str">
        <f>"050306"</f>
        <v>050306</v>
      </c>
      <c r="D1522" s="12" t="s">
        <v>849</v>
      </c>
      <c r="E1522" s="14" t="s">
        <v>82</v>
      </c>
      <c r="F1522" s="12" t="s">
        <v>441</v>
      </c>
      <c r="G1522" s="15">
        <v>90</v>
      </c>
      <c r="H1522" s="12" t="s">
        <v>850</v>
      </c>
      <c r="I1522" s="12" t="s">
        <v>5</v>
      </c>
      <c r="K1522" s="16">
        <v>23.35</v>
      </c>
      <c r="L1522" s="16">
        <v>35.68</v>
      </c>
      <c r="M1522" s="16">
        <v>37.18</v>
      </c>
    </row>
    <row r="1523" spans="1:13" outlineLevel="3" x14ac:dyDescent="0.2">
      <c r="B1523" s="4" t="str">
        <f>"0007710090"</f>
        <v>0007710090</v>
      </c>
      <c r="C1523" s="5" t="str">
        <f>"566075"</f>
        <v>566075</v>
      </c>
      <c r="D1523" s="12" t="s">
        <v>851</v>
      </c>
      <c r="E1523" s="14" t="s">
        <v>82</v>
      </c>
      <c r="F1523" s="12" t="s">
        <v>441</v>
      </c>
      <c r="G1523" s="15">
        <v>90</v>
      </c>
      <c r="H1523" s="12" t="s">
        <v>850</v>
      </c>
      <c r="I1523" s="12" t="s">
        <v>187</v>
      </c>
      <c r="K1523" s="16">
        <v>23.35</v>
      </c>
      <c r="L1523" s="16">
        <v>35.68</v>
      </c>
      <c r="M1523" s="16">
        <v>37.18</v>
      </c>
    </row>
    <row r="1524" spans="1:13" outlineLevel="2" x14ac:dyDescent="0.2"/>
    <row r="1525" spans="1:13" outlineLevel="3" x14ac:dyDescent="0.2">
      <c r="B1525" s="4" t="str">
        <f>"0007710100"</f>
        <v>0007710100</v>
      </c>
      <c r="C1525" s="5" t="str">
        <f>"140841"</f>
        <v>140841</v>
      </c>
      <c r="D1525" s="12" t="s">
        <v>849</v>
      </c>
      <c r="E1525" s="14" t="s">
        <v>82</v>
      </c>
      <c r="F1525" s="12" t="s">
        <v>441</v>
      </c>
      <c r="G1525" s="15">
        <v>100</v>
      </c>
      <c r="H1525" s="12" t="s">
        <v>850</v>
      </c>
      <c r="I1525" s="12" t="s">
        <v>5</v>
      </c>
      <c r="K1525" s="16">
        <v>25.94</v>
      </c>
      <c r="L1525" s="16">
        <v>39.53</v>
      </c>
      <c r="M1525" s="16">
        <v>41.03</v>
      </c>
    </row>
    <row r="1526" spans="1:13" outlineLevel="1" x14ac:dyDescent="0.2">
      <c r="A1526" s="3"/>
    </row>
    <row r="1527" spans="1:13" outlineLevel="2" x14ac:dyDescent="0.2">
      <c r="A1527" s="3" t="s">
        <v>1480</v>
      </c>
    </row>
    <row r="1528" spans="1:13" ht="33.75" outlineLevel="3" x14ac:dyDescent="0.2">
      <c r="B1528" s="4" t="str">
        <f>"0005130030"</f>
        <v>0005130030</v>
      </c>
      <c r="C1528" s="5" t="str">
        <f>"374348"</f>
        <v>374348</v>
      </c>
      <c r="D1528" s="12" t="s">
        <v>645</v>
      </c>
      <c r="E1528" s="14" t="s">
        <v>96</v>
      </c>
      <c r="F1528" s="12" t="s">
        <v>639</v>
      </c>
      <c r="G1528" s="15">
        <v>30</v>
      </c>
      <c r="H1528" s="12" t="s">
        <v>640</v>
      </c>
      <c r="I1528" s="12" t="s">
        <v>644</v>
      </c>
      <c r="K1528" s="16">
        <v>23.48</v>
      </c>
      <c r="L1528" s="16">
        <v>35.880000000000003</v>
      </c>
      <c r="M1528" s="16">
        <v>11.25</v>
      </c>
    </row>
    <row r="1529" spans="1:13" ht="22.5" outlineLevel="3" x14ac:dyDescent="0.2">
      <c r="B1529" s="4" t="str">
        <f>"0005130030"</f>
        <v>0005130030</v>
      </c>
      <c r="C1529" s="5" t="str">
        <f>"077878"</f>
        <v>077878</v>
      </c>
      <c r="D1529" s="12" t="s">
        <v>641</v>
      </c>
      <c r="E1529" s="14" t="s">
        <v>96</v>
      </c>
      <c r="F1529" s="12" t="s">
        <v>642</v>
      </c>
      <c r="G1529" s="15">
        <v>30</v>
      </c>
      <c r="H1529" s="12" t="s">
        <v>640</v>
      </c>
      <c r="I1529" s="12" t="s">
        <v>58</v>
      </c>
      <c r="K1529" s="16">
        <v>7.05</v>
      </c>
      <c r="L1529" s="16">
        <v>11.24</v>
      </c>
      <c r="M1529" s="16">
        <v>11.25</v>
      </c>
    </row>
    <row r="1530" spans="1:13" ht="33.75" outlineLevel="3" x14ac:dyDescent="0.2">
      <c r="B1530" s="4" t="str">
        <f>"0005130030"</f>
        <v>0005130030</v>
      </c>
      <c r="C1530" s="5" t="str">
        <f>"396871"</f>
        <v>396871</v>
      </c>
      <c r="D1530" s="12" t="s">
        <v>646</v>
      </c>
      <c r="E1530" s="14" t="s">
        <v>96</v>
      </c>
      <c r="F1530" s="12" t="s">
        <v>639</v>
      </c>
      <c r="G1530" s="15">
        <v>30</v>
      </c>
      <c r="H1530" s="12" t="s">
        <v>640</v>
      </c>
      <c r="I1530" s="12" t="s">
        <v>5</v>
      </c>
      <c r="K1530" s="16">
        <v>7.05</v>
      </c>
      <c r="L1530" s="16">
        <v>11.24</v>
      </c>
      <c r="M1530" s="16">
        <v>11.25</v>
      </c>
    </row>
    <row r="1531" spans="1:13" ht="33.75" outlineLevel="3" x14ac:dyDescent="0.2">
      <c r="B1531" s="4" t="str">
        <f>"0005130030"</f>
        <v>0005130030</v>
      </c>
      <c r="C1531" s="5" t="str">
        <f>"023074"</f>
        <v>023074</v>
      </c>
      <c r="D1531" s="12" t="s">
        <v>638</v>
      </c>
      <c r="E1531" s="14" t="s">
        <v>96</v>
      </c>
      <c r="F1531" s="12" t="s">
        <v>639</v>
      </c>
      <c r="G1531" s="15">
        <v>30</v>
      </c>
      <c r="H1531" s="12" t="s">
        <v>640</v>
      </c>
      <c r="I1531" s="12" t="s">
        <v>355</v>
      </c>
      <c r="K1531" s="16">
        <v>6.89</v>
      </c>
      <c r="L1531" s="16">
        <v>10.99</v>
      </c>
      <c r="M1531" s="16">
        <v>11.25</v>
      </c>
    </row>
    <row r="1532" spans="1:13" ht="33.75" outlineLevel="3" x14ac:dyDescent="0.2">
      <c r="B1532" s="4" t="str">
        <f>"0005130030"</f>
        <v>0005130030</v>
      </c>
      <c r="C1532" s="5" t="str">
        <f>"185405"</f>
        <v>185405</v>
      </c>
      <c r="D1532" s="12" t="s">
        <v>643</v>
      </c>
      <c r="E1532" s="14" t="s">
        <v>96</v>
      </c>
      <c r="F1532" s="12" t="s">
        <v>639</v>
      </c>
      <c r="G1532" s="15">
        <v>30</v>
      </c>
      <c r="H1532" s="12" t="s">
        <v>640</v>
      </c>
      <c r="I1532" s="12" t="s">
        <v>644</v>
      </c>
      <c r="K1532" s="16">
        <v>6.11</v>
      </c>
      <c r="L1532" s="16">
        <v>9.75</v>
      </c>
      <c r="M1532" s="16">
        <v>11.25</v>
      </c>
    </row>
    <row r="1533" spans="1:13" outlineLevel="2" x14ac:dyDescent="0.2"/>
    <row r="1534" spans="1:13" ht="33.75" outlineLevel="3" x14ac:dyDescent="0.2">
      <c r="B1534" s="4" t="str">
        <f t="shared" ref="B1534:B1540" si="64">"0005130090"</f>
        <v>0005130090</v>
      </c>
      <c r="C1534" s="5" t="str">
        <f>"005108"</f>
        <v>005108</v>
      </c>
      <c r="D1534" s="12" t="s">
        <v>645</v>
      </c>
      <c r="E1534" s="14" t="s">
        <v>96</v>
      </c>
      <c r="F1534" s="12" t="s">
        <v>639</v>
      </c>
      <c r="G1534" s="15">
        <v>90</v>
      </c>
      <c r="H1534" s="12" t="s">
        <v>640</v>
      </c>
      <c r="I1534" s="12" t="s">
        <v>644</v>
      </c>
      <c r="K1534" s="16">
        <v>66.22</v>
      </c>
      <c r="L1534" s="16">
        <v>97.15</v>
      </c>
      <c r="M1534" s="16">
        <v>20.59</v>
      </c>
    </row>
    <row r="1535" spans="1:13" ht="33.75" outlineLevel="3" x14ac:dyDescent="0.2">
      <c r="B1535" s="4" t="str">
        <f t="shared" si="64"/>
        <v>0005130090</v>
      </c>
      <c r="C1535" s="5" t="str">
        <f>"024922"</f>
        <v>024922</v>
      </c>
      <c r="D1535" s="12" t="s">
        <v>647</v>
      </c>
      <c r="E1535" s="14" t="s">
        <v>96</v>
      </c>
      <c r="F1535" s="12" t="s">
        <v>639</v>
      </c>
      <c r="G1535" s="15">
        <v>90</v>
      </c>
      <c r="H1535" s="12" t="s">
        <v>640</v>
      </c>
      <c r="I1535" s="12" t="s">
        <v>70</v>
      </c>
      <c r="J1535" s="2" t="s">
        <v>1400</v>
      </c>
      <c r="K1535" s="16">
        <v>13.18</v>
      </c>
      <c r="L1535" s="16">
        <v>20.58</v>
      </c>
      <c r="M1535" s="16">
        <v>20.59</v>
      </c>
    </row>
    <row r="1536" spans="1:13" ht="33.75" outlineLevel="3" x14ac:dyDescent="0.2">
      <c r="B1536" s="4" t="str">
        <f t="shared" si="64"/>
        <v>0005130090</v>
      </c>
      <c r="C1536" s="5" t="str">
        <f>"023265"</f>
        <v>023265</v>
      </c>
      <c r="D1536" s="12" t="s">
        <v>638</v>
      </c>
      <c r="E1536" s="14" t="s">
        <v>96</v>
      </c>
      <c r="F1536" s="12" t="s">
        <v>639</v>
      </c>
      <c r="G1536" s="15">
        <v>90</v>
      </c>
      <c r="H1536" s="12" t="s">
        <v>640</v>
      </c>
      <c r="I1536" s="12" t="s">
        <v>355</v>
      </c>
      <c r="K1536" s="16">
        <v>13.18</v>
      </c>
      <c r="L1536" s="16">
        <v>20.58</v>
      </c>
      <c r="M1536" s="16">
        <v>20.59</v>
      </c>
    </row>
    <row r="1537" spans="1:13" ht="22.5" outlineLevel="3" x14ac:dyDescent="0.2">
      <c r="B1537" s="4" t="str">
        <f t="shared" si="64"/>
        <v>0005130090</v>
      </c>
      <c r="C1537" s="5" t="str">
        <f>"077887"</f>
        <v>077887</v>
      </c>
      <c r="D1537" s="12" t="s">
        <v>641</v>
      </c>
      <c r="E1537" s="14" t="s">
        <v>96</v>
      </c>
      <c r="F1537" s="12" t="s">
        <v>642</v>
      </c>
      <c r="G1537" s="15">
        <v>90</v>
      </c>
      <c r="H1537" s="12" t="s">
        <v>640</v>
      </c>
      <c r="I1537" s="12" t="s">
        <v>58</v>
      </c>
      <c r="K1537" s="16">
        <v>13.18</v>
      </c>
      <c r="L1537" s="16">
        <v>20.58</v>
      </c>
      <c r="M1537" s="16">
        <v>20.59</v>
      </c>
    </row>
    <row r="1538" spans="1:13" ht="33.75" outlineLevel="3" x14ac:dyDescent="0.2">
      <c r="B1538" s="4" t="str">
        <f t="shared" si="64"/>
        <v>0005130090</v>
      </c>
      <c r="C1538" s="5" t="str">
        <f>"470366"</f>
        <v>470366</v>
      </c>
      <c r="D1538" s="12" t="s">
        <v>648</v>
      </c>
      <c r="E1538" s="14" t="s">
        <v>96</v>
      </c>
      <c r="F1538" s="12" t="s">
        <v>639</v>
      </c>
      <c r="G1538" s="15">
        <v>90</v>
      </c>
      <c r="H1538" s="12" t="s">
        <v>640</v>
      </c>
      <c r="I1538" s="12" t="s">
        <v>247</v>
      </c>
      <c r="K1538" s="16">
        <v>13.18</v>
      </c>
      <c r="L1538" s="16">
        <v>20.58</v>
      </c>
      <c r="M1538" s="16">
        <v>20.59</v>
      </c>
    </row>
    <row r="1539" spans="1:13" ht="33.75" outlineLevel="3" x14ac:dyDescent="0.2">
      <c r="B1539" s="4" t="str">
        <f t="shared" si="64"/>
        <v>0005130090</v>
      </c>
      <c r="C1539" s="5" t="str">
        <f>"478402"</f>
        <v>478402</v>
      </c>
      <c r="D1539" s="12" t="s">
        <v>646</v>
      </c>
      <c r="E1539" s="14" t="s">
        <v>96</v>
      </c>
      <c r="F1539" s="12" t="s">
        <v>639</v>
      </c>
      <c r="G1539" s="15">
        <v>90</v>
      </c>
      <c r="H1539" s="12" t="s">
        <v>640</v>
      </c>
      <c r="I1539" s="12" t="s">
        <v>5</v>
      </c>
      <c r="K1539" s="16">
        <v>13.18</v>
      </c>
      <c r="L1539" s="16">
        <v>20.58</v>
      </c>
      <c r="M1539" s="16">
        <v>20.59</v>
      </c>
    </row>
    <row r="1540" spans="1:13" ht="33.75" outlineLevel="3" x14ac:dyDescent="0.2">
      <c r="B1540" s="4" t="str">
        <f t="shared" si="64"/>
        <v>0005130090</v>
      </c>
      <c r="C1540" s="5" t="str">
        <f>"185660"</f>
        <v>185660</v>
      </c>
      <c r="D1540" s="12" t="s">
        <v>643</v>
      </c>
      <c r="E1540" s="14" t="s">
        <v>96</v>
      </c>
      <c r="F1540" s="12" t="s">
        <v>639</v>
      </c>
      <c r="G1540" s="15">
        <v>90</v>
      </c>
      <c r="H1540" s="12" t="s">
        <v>640</v>
      </c>
      <c r="I1540" s="12" t="s">
        <v>644</v>
      </c>
      <c r="K1540" s="16">
        <v>12.17</v>
      </c>
      <c r="L1540" s="16">
        <v>19.09</v>
      </c>
      <c r="M1540" s="16">
        <v>20.59</v>
      </c>
    </row>
    <row r="1541" spans="1:13" outlineLevel="2" x14ac:dyDescent="0.2"/>
    <row r="1542" spans="1:13" outlineLevel="3" x14ac:dyDescent="0.2">
      <c r="B1542" s="4" t="str">
        <f>"0012240030"</f>
        <v>0012240030</v>
      </c>
      <c r="C1542" s="5" t="str">
        <f>"020238"</f>
        <v>020238</v>
      </c>
      <c r="D1542" s="12" t="s">
        <v>1191</v>
      </c>
      <c r="E1542" s="14" t="s">
        <v>96</v>
      </c>
      <c r="F1542" s="12" t="s">
        <v>441</v>
      </c>
      <c r="G1542" s="15">
        <v>30</v>
      </c>
      <c r="H1542" s="12" t="s">
        <v>640</v>
      </c>
      <c r="I1542" s="12" t="s">
        <v>644</v>
      </c>
      <c r="K1542" s="16">
        <v>13.23</v>
      </c>
      <c r="L1542" s="16">
        <v>20.66</v>
      </c>
      <c r="M1542" s="16">
        <v>20</v>
      </c>
    </row>
    <row r="1543" spans="1:13" outlineLevel="3" x14ac:dyDescent="0.2">
      <c r="B1543" s="4" t="str">
        <f>"0012240030"</f>
        <v>0012240030</v>
      </c>
      <c r="C1543" s="5" t="str">
        <f>"573235"</f>
        <v>573235</v>
      </c>
      <c r="D1543" s="12" t="s">
        <v>1192</v>
      </c>
      <c r="E1543" s="14" t="s">
        <v>96</v>
      </c>
      <c r="F1543" s="12" t="s">
        <v>441</v>
      </c>
      <c r="G1543" s="15">
        <v>30</v>
      </c>
      <c r="H1543" s="12" t="s">
        <v>640</v>
      </c>
      <c r="I1543" s="12" t="s">
        <v>355</v>
      </c>
      <c r="K1543" s="16">
        <v>11.78</v>
      </c>
      <c r="L1543" s="16">
        <v>18.5</v>
      </c>
      <c r="M1543" s="16">
        <v>20</v>
      </c>
    </row>
    <row r="1544" spans="1:13" outlineLevel="2" x14ac:dyDescent="0.2"/>
    <row r="1545" spans="1:13" outlineLevel="3" x14ac:dyDescent="0.2">
      <c r="B1545" s="4" t="str">
        <f>"0012240090"</f>
        <v>0012240090</v>
      </c>
      <c r="C1545" s="5" t="str">
        <f>"020338"</f>
        <v>020338</v>
      </c>
      <c r="D1545" s="12" t="s">
        <v>1191</v>
      </c>
      <c r="E1545" s="14" t="s">
        <v>96</v>
      </c>
      <c r="F1545" s="12" t="s">
        <v>441</v>
      </c>
      <c r="G1545" s="15">
        <v>90</v>
      </c>
      <c r="H1545" s="12" t="s">
        <v>640</v>
      </c>
      <c r="I1545" s="12" t="s">
        <v>644</v>
      </c>
      <c r="K1545" s="16">
        <v>35.76</v>
      </c>
      <c r="L1545" s="16">
        <v>54.12</v>
      </c>
      <c r="M1545" s="16">
        <v>49</v>
      </c>
    </row>
    <row r="1546" spans="1:13" outlineLevel="3" x14ac:dyDescent="0.2">
      <c r="B1546" s="4" t="str">
        <f>"0012240090"</f>
        <v>0012240090</v>
      </c>
      <c r="C1546" s="5" t="str">
        <f>"425257"</f>
        <v>425257</v>
      </c>
      <c r="D1546" s="12" t="s">
        <v>1192</v>
      </c>
      <c r="E1546" s="14" t="s">
        <v>96</v>
      </c>
      <c r="F1546" s="12" t="s">
        <v>441</v>
      </c>
      <c r="G1546" s="15">
        <v>90</v>
      </c>
      <c r="H1546" s="12" t="s">
        <v>640</v>
      </c>
      <c r="I1546" s="12" t="s">
        <v>355</v>
      </c>
      <c r="K1546" s="16">
        <v>30.97</v>
      </c>
      <c r="L1546" s="16">
        <v>47</v>
      </c>
      <c r="M1546" s="16">
        <v>49</v>
      </c>
    </row>
    <row r="1547" spans="1:13" outlineLevel="3" x14ac:dyDescent="0.2">
      <c r="B1547" s="4" t="str">
        <f>"0012240090"</f>
        <v>0012240090</v>
      </c>
      <c r="C1547" s="5" t="str">
        <f>"505920"</f>
        <v>505920</v>
      </c>
      <c r="D1547" s="12" t="s">
        <v>1191</v>
      </c>
      <c r="E1547" s="14" t="s">
        <v>96</v>
      </c>
      <c r="F1547" s="12" t="s">
        <v>441</v>
      </c>
      <c r="G1547" s="15">
        <v>90</v>
      </c>
      <c r="H1547" s="12" t="s">
        <v>640</v>
      </c>
      <c r="I1547" s="12" t="s">
        <v>75</v>
      </c>
      <c r="K1547" s="16">
        <v>30.97</v>
      </c>
      <c r="L1547" s="16">
        <v>47</v>
      </c>
      <c r="M1547" s="16">
        <v>49</v>
      </c>
    </row>
    <row r="1548" spans="1:13" outlineLevel="1" x14ac:dyDescent="0.2">
      <c r="A1548" s="3"/>
    </row>
    <row r="1549" spans="1:13" outlineLevel="2" x14ac:dyDescent="0.2">
      <c r="A1549" s="3" t="s">
        <v>1481</v>
      </c>
    </row>
    <row r="1550" spans="1:13" ht="33.75" outlineLevel="3" x14ac:dyDescent="0.2">
      <c r="B1550" s="4" t="str">
        <f>"0001780030"</f>
        <v>0001780030</v>
      </c>
      <c r="C1550" s="5" t="str">
        <f>"000599"</f>
        <v>000599</v>
      </c>
      <c r="D1550" s="12" t="s">
        <v>228</v>
      </c>
      <c r="E1550" s="14" t="s">
        <v>111</v>
      </c>
      <c r="F1550" s="12" t="s">
        <v>3</v>
      </c>
      <c r="G1550" s="15">
        <v>30</v>
      </c>
      <c r="H1550" s="12" t="s">
        <v>229</v>
      </c>
      <c r="I1550" s="12" t="s">
        <v>62</v>
      </c>
      <c r="J1550" s="2" t="s">
        <v>1400</v>
      </c>
      <c r="K1550" s="16">
        <v>27.24</v>
      </c>
      <c r="L1550" s="16">
        <v>41.46</v>
      </c>
      <c r="M1550" s="16">
        <v>42.05</v>
      </c>
    </row>
    <row r="1551" spans="1:13" ht="33.75" outlineLevel="3" x14ac:dyDescent="0.2">
      <c r="B1551" s="4" t="str">
        <f>"0001780030"</f>
        <v>0001780030</v>
      </c>
      <c r="C1551" s="5" t="str">
        <f>"031478"</f>
        <v>031478</v>
      </c>
      <c r="D1551" s="12" t="s">
        <v>230</v>
      </c>
      <c r="E1551" s="14" t="s">
        <v>111</v>
      </c>
      <c r="F1551" s="12" t="s">
        <v>3</v>
      </c>
      <c r="G1551" s="15">
        <v>30</v>
      </c>
      <c r="H1551" s="12" t="s">
        <v>229</v>
      </c>
      <c r="I1551" s="12" t="s">
        <v>58</v>
      </c>
      <c r="K1551" s="16">
        <v>27.24</v>
      </c>
      <c r="L1551" s="16">
        <v>41.46</v>
      </c>
      <c r="M1551" s="16">
        <v>42.05</v>
      </c>
    </row>
    <row r="1552" spans="1:13" ht="33.75" outlineLevel="3" x14ac:dyDescent="0.2">
      <c r="B1552" s="4" t="str">
        <f>"0001780030"</f>
        <v>0001780030</v>
      </c>
      <c r="C1552" s="5" t="str">
        <f>"385822"</f>
        <v>385822</v>
      </c>
      <c r="D1552" s="12" t="s">
        <v>231</v>
      </c>
      <c r="E1552" s="14" t="s">
        <v>111</v>
      </c>
      <c r="F1552" s="12" t="s">
        <v>3</v>
      </c>
      <c r="G1552" s="15">
        <v>30</v>
      </c>
      <c r="H1552" s="12" t="s">
        <v>229</v>
      </c>
      <c r="I1552" s="12" t="s">
        <v>5</v>
      </c>
      <c r="K1552" s="16">
        <v>27.24</v>
      </c>
      <c r="L1552" s="16">
        <v>41.46</v>
      </c>
      <c r="M1552" s="16">
        <v>42.05</v>
      </c>
    </row>
    <row r="1553" spans="1:13" ht="33.75" outlineLevel="3" x14ac:dyDescent="0.2">
      <c r="B1553" s="4" t="str">
        <f>"0001780030"</f>
        <v>0001780030</v>
      </c>
      <c r="C1553" s="5" t="str">
        <f>"445544"</f>
        <v>445544</v>
      </c>
      <c r="D1553" s="12" t="s">
        <v>232</v>
      </c>
      <c r="E1553" s="14" t="s">
        <v>111</v>
      </c>
      <c r="F1553" s="12" t="s">
        <v>3</v>
      </c>
      <c r="G1553" s="15">
        <v>28</v>
      </c>
      <c r="H1553" s="12" t="s">
        <v>229</v>
      </c>
      <c r="I1553" s="12" t="s">
        <v>170</v>
      </c>
      <c r="K1553" s="16">
        <v>26.29</v>
      </c>
      <c r="L1553" s="16">
        <v>40.049999999999997</v>
      </c>
      <c r="M1553" s="16">
        <v>42.05</v>
      </c>
    </row>
    <row r="1554" spans="1:13" outlineLevel="2" x14ac:dyDescent="0.2"/>
    <row r="1555" spans="1:13" ht="33.75" outlineLevel="3" x14ac:dyDescent="0.2">
      <c r="B1555" s="4" t="str">
        <f>"0001780100"</f>
        <v>0001780100</v>
      </c>
      <c r="C1555" s="5" t="str">
        <f>"445759"</f>
        <v>445759</v>
      </c>
      <c r="D1555" s="12" t="s">
        <v>232</v>
      </c>
      <c r="E1555" s="14" t="s">
        <v>111</v>
      </c>
      <c r="F1555" s="12" t="s">
        <v>3</v>
      </c>
      <c r="G1555" s="15">
        <v>98</v>
      </c>
      <c r="H1555" s="12" t="s">
        <v>229</v>
      </c>
      <c r="I1555" s="12" t="s">
        <v>170</v>
      </c>
      <c r="K1555" s="16">
        <v>88.34</v>
      </c>
      <c r="L1555" s="16">
        <v>127.57</v>
      </c>
      <c r="M1555" s="16">
        <v>51.43</v>
      </c>
    </row>
    <row r="1556" spans="1:13" ht="33.75" outlineLevel="3" x14ac:dyDescent="0.2">
      <c r="B1556" s="4" t="str">
        <f>"0001780100"</f>
        <v>0001780100</v>
      </c>
      <c r="C1556" s="5" t="str">
        <f>"000616"</f>
        <v>000616</v>
      </c>
      <c r="D1556" s="12" t="s">
        <v>228</v>
      </c>
      <c r="E1556" s="14" t="s">
        <v>111</v>
      </c>
      <c r="F1556" s="12" t="s">
        <v>3</v>
      </c>
      <c r="G1556" s="15">
        <v>100</v>
      </c>
      <c r="H1556" s="12" t="s">
        <v>229</v>
      </c>
      <c r="I1556" s="12" t="s">
        <v>62</v>
      </c>
      <c r="K1556" s="16">
        <v>32.61</v>
      </c>
      <c r="L1556" s="16">
        <v>49.43</v>
      </c>
      <c r="M1556" s="16">
        <v>51.43</v>
      </c>
    </row>
    <row r="1557" spans="1:13" ht="33.75" outlineLevel="3" x14ac:dyDescent="0.2">
      <c r="B1557" s="4" t="str">
        <f>"0001780100"</f>
        <v>0001780100</v>
      </c>
      <c r="C1557" s="5" t="str">
        <f>"031487"</f>
        <v>031487</v>
      </c>
      <c r="D1557" s="12" t="s">
        <v>230</v>
      </c>
      <c r="E1557" s="14" t="s">
        <v>111</v>
      </c>
      <c r="F1557" s="12" t="s">
        <v>3</v>
      </c>
      <c r="G1557" s="15">
        <v>100</v>
      </c>
      <c r="H1557" s="12" t="s">
        <v>229</v>
      </c>
      <c r="I1557" s="12" t="s">
        <v>58</v>
      </c>
      <c r="K1557" s="16">
        <v>32.61</v>
      </c>
      <c r="L1557" s="16">
        <v>49.43</v>
      </c>
      <c r="M1557" s="16">
        <v>51.43</v>
      </c>
    </row>
    <row r="1558" spans="1:13" ht="33.75" outlineLevel="3" x14ac:dyDescent="0.2">
      <c r="B1558" s="4" t="str">
        <f>"0001780100"</f>
        <v>0001780100</v>
      </c>
      <c r="C1558" s="5" t="str">
        <f>"534994"</f>
        <v>534994</v>
      </c>
      <c r="D1558" s="12" t="s">
        <v>231</v>
      </c>
      <c r="E1558" s="14" t="s">
        <v>111</v>
      </c>
      <c r="F1558" s="12" t="s">
        <v>3</v>
      </c>
      <c r="G1558" s="15">
        <v>100</v>
      </c>
      <c r="H1558" s="12" t="s">
        <v>229</v>
      </c>
      <c r="I1558" s="12" t="s">
        <v>5</v>
      </c>
      <c r="K1558" s="16">
        <v>32.61</v>
      </c>
      <c r="L1558" s="16">
        <v>49.43</v>
      </c>
      <c r="M1558" s="16">
        <v>51.43</v>
      </c>
    </row>
    <row r="1559" spans="1:13" outlineLevel="1" x14ac:dyDescent="0.2">
      <c r="A1559" s="3"/>
    </row>
    <row r="1560" spans="1:13" outlineLevel="2" x14ac:dyDescent="0.2">
      <c r="A1560" s="3" t="s">
        <v>1482</v>
      </c>
    </row>
    <row r="1561" spans="1:13" outlineLevel="3" x14ac:dyDescent="0.2">
      <c r="B1561" s="4" t="str">
        <f>"0013380030"</f>
        <v>0013380030</v>
      </c>
      <c r="C1561" s="5" t="str">
        <f>"012243"</f>
        <v>012243</v>
      </c>
      <c r="D1561" s="12" t="s">
        <v>1253</v>
      </c>
      <c r="E1561" s="14" t="s">
        <v>464</v>
      </c>
      <c r="F1561" s="12" t="s">
        <v>822</v>
      </c>
      <c r="G1561" s="15">
        <v>30</v>
      </c>
      <c r="H1561" s="12" t="s">
        <v>1254</v>
      </c>
      <c r="I1561" s="12" t="s">
        <v>9</v>
      </c>
      <c r="K1561" s="16">
        <v>22.94</v>
      </c>
      <c r="L1561" s="16">
        <v>35.08</v>
      </c>
      <c r="M1561" s="16">
        <v>19.54</v>
      </c>
    </row>
    <row r="1562" spans="1:13" outlineLevel="3" x14ac:dyDescent="0.2">
      <c r="B1562" s="4" t="str">
        <f>"0013380030"</f>
        <v>0013380030</v>
      </c>
      <c r="C1562" s="5" t="str">
        <f>"082778"</f>
        <v>082778</v>
      </c>
      <c r="D1562" s="12" t="s">
        <v>1253</v>
      </c>
      <c r="E1562" s="14" t="s">
        <v>464</v>
      </c>
      <c r="F1562" s="12" t="s">
        <v>822</v>
      </c>
      <c r="G1562" s="15">
        <v>30</v>
      </c>
      <c r="H1562" s="12" t="s">
        <v>1254</v>
      </c>
      <c r="I1562" s="12" t="s">
        <v>76</v>
      </c>
      <c r="J1562" s="2" t="s">
        <v>1400</v>
      </c>
      <c r="K1562" s="16">
        <v>22.26</v>
      </c>
      <c r="L1562" s="16">
        <v>34.07</v>
      </c>
      <c r="M1562" s="16">
        <v>19.54</v>
      </c>
    </row>
    <row r="1563" spans="1:13" outlineLevel="3" x14ac:dyDescent="0.2">
      <c r="B1563" s="4" t="str">
        <f>"0013380030"</f>
        <v>0013380030</v>
      </c>
      <c r="C1563" s="5" t="str">
        <f>"502020"</f>
        <v>502020</v>
      </c>
      <c r="D1563" s="12" t="s">
        <v>1255</v>
      </c>
      <c r="E1563" s="14" t="s">
        <v>464</v>
      </c>
      <c r="F1563" s="12" t="s">
        <v>822</v>
      </c>
      <c r="G1563" s="15">
        <v>30</v>
      </c>
      <c r="H1563" s="12" t="s">
        <v>1254</v>
      </c>
      <c r="I1563" s="12" t="s">
        <v>1256</v>
      </c>
      <c r="K1563" s="16">
        <v>11.47</v>
      </c>
      <c r="L1563" s="16">
        <v>18.04</v>
      </c>
      <c r="M1563" s="16">
        <v>19.54</v>
      </c>
    </row>
    <row r="1564" spans="1:13" outlineLevel="2" x14ac:dyDescent="0.2"/>
    <row r="1565" spans="1:13" outlineLevel="3" x14ac:dyDescent="0.2">
      <c r="B1565" s="4" t="str">
        <f>"0013380090"</f>
        <v>0013380090</v>
      </c>
      <c r="C1565" s="5" t="str">
        <f>"012209"</f>
        <v>012209</v>
      </c>
      <c r="D1565" s="12" t="s">
        <v>1253</v>
      </c>
      <c r="E1565" s="14" t="s">
        <v>464</v>
      </c>
      <c r="F1565" s="12" t="s">
        <v>822</v>
      </c>
      <c r="G1565" s="15">
        <v>90</v>
      </c>
      <c r="H1565" s="12" t="s">
        <v>1254</v>
      </c>
      <c r="I1565" s="12" t="s">
        <v>9</v>
      </c>
      <c r="K1565" s="16">
        <v>67.53</v>
      </c>
      <c r="L1565" s="16">
        <v>98.95</v>
      </c>
      <c r="M1565" s="16">
        <v>53.46</v>
      </c>
    </row>
    <row r="1566" spans="1:13" outlineLevel="3" x14ac:dyDescent="0.2">
      <c r="B1566" s="4" t="str">
        <f>"0013380090"</f>
        <v>0013380090</v>
      </c>
      <c r="C1566" s="5" t="str">
        <f>"082787"</f>
        <v>082787</v>
      </c>
      <c r="D1566" s="12" t="s">
        <v>1253</v>
      </c>
      <c r="E1566" s="14" t="s">
        <v>464</v>
      </c>
      <c r="F1566" s="12" t="s">
        <v>822</v>
      </c>
      <c r="G1566" s="15">
        <v>90</v>
      </c>
      <c r="H1566" s="12" t="s">
        <v>1254</v>
      </c>
      <c r="I1566" s="12" t="s">
        <v>76</v>
      </c>
      <c r="K1566" s="16">
        <v>66.010000000000005</v>
      </c>
      <c r="L1566" s="16">
        <v>96.86</v>
      </c>
      <c r="M1566" s="16">
        <v>53.46</v>
      </c>
    </row>
    <row r="1567" spans="1:13" outlineLevel="3" x14ac:dyDescent="0.2">
      <c r="B1567" s="4" t="str">
        <f>"0013380090"</f>
        <v>0013380090</v>
      </c>
      <c r="C1567" s="5" t="str">
        <f>"528203"</f>
        <v>528203</v>
      </c>
      <c r="D1567" s="12" t="s">
        <v>1255</v>
      </c>
      <c r="E1567" s="14" t="s">
        <v>464</v>
      </c>
      <c r="F1567" s="12" t="s">
        <v>822</v>
      </c>
      <c r="G1567" s="15">
        <v>90</v>
      </c>
      <c r="H1567" s="12" t="s">
        <v>1254</v>
      </c>
      <c r="I1567" s="12" t="s">
        <v>1256</v>
      </c>
      <c r="K1567" s="16">
        <v>33.97</v>
      </c>
      <c r="L1567" s="16">
        <v>51.46</v>
      </c>
      <c r="M1567" s="16">
        <v>53.46</v>
      </c>
    </row>
    <row r="1568" spans="1:13" outlineLevel="1" x14ac:dyDescent="0.2">
      <c r="A1568" s="3"/>
    </row>
    <row r="1569" spans="1:13" outlineLevel="2" x14ac:dyDescent="0.2">
      <c r="A1569" s="3" t="s">
        <v>1483</v>
      </c>
    </row>
    <row r="1570" spans="1:13" outlineLevel="3" x14ac:dyDescent="0.2">
      <c r="B1570" s="4" t="str">
        <f>"0001830100"</f>
        <v>0001830100</v>
      </c>
      <c r="C1570" s="5" t="str">
        <f>"183277"</f>
        <v>183277</v>
      </c>
      <c r="D1570" s="12" t="s">
        <v>233</v>
      </c>
      <c r="E1570" s="14" t="s">
        <v>234</v>
      </c>
      <c r="F1570" s="12" t="s">
        <v>73</v>
      </c>
      <c r="G1570" s="15">
        <v>100</v>
      </c>
      <c r="H1570" s="12" t="s">
        <v>235</v>
      </c>
      <c r="I1570" s="12" t="s">
        <v>58</v>
      </c>
      <c r="K1570" s="16">
        <v>10.19</v>
      </c>
      <c r="L1570" s="16">
        <v>16.149999999999999</v>
      </c>
      <c r="M1570" s="16">
        <v>17.649999999999999</v>
      </c>
    </row>
    <row r="1571" spans="1:13" outlineLevel="1" x14ac:dyDescent="0.2">
      <c r="A1571" s="3"/>
    </row>
    <row r="1572" spans="1:13" outlineLevel="2" x14ac:dyDescent="0.2">
      <c r="A1572" s="3" t="s">
        <v>1484</v>
      </c>
    </row>
    <row r="1573" spans="1:13" outlineLevel="3" x14ac:dyDescent="0.2">
      <c r="B1573" s="4" t="str">
        <f>"0001840030"</f>
        <v>0001840030</v>
      </c>
      <c r="C1573" s="5" t="str">
        <f>"428599"</f>
        <v>428599</v>
      </c>
      <c r="D1573" s="12" t="s">
        <v>236</v>
      </c>
      <c r="E1573" s="14" t="s">
        <v>237</v>
      </c>
      <c r="F1573" s="12" t="s">
        <v>73</v>
      </c>
      <c r="G1573" s="15">
        <v>30</v>
      </c>
      <c r="H1573" s="12" t="s">
        <v>238</v>
      </c>
      <c r="I1573" s="12" t="s">
        <v>58</v>
      </c>
      <c r="K1573" s="16">
        <v>12.52</v>
      </c>
      <c r="L1573" s="16">
        <v>19.600000000000001</v>
      </c>
      <c r="M1573" s="16">
        <v>21.1</v>
      </c>
    </row>
    <row r="1574" spans="1:13" outlineLevel="2" x14ac:dyDescent="0.2"/>
    <row r="1575" spans="1:13" outlineLevel="3" x14ac:dyDescent="0.2">
      <c r="B1575" s="4" t="str">
        <f>"0001840100"</f>
        <v>0001840100</v>
      </c>
      <c r="C1575" s="5" t="str">
        <f>"428607"</f>
        <v>428607</v>
      </c>
      <c r="D1575" s="12" t="s">
        <v>236</v>
      </c>
      <c r="E1575" s="14" t="s">
        <v>237</v>
      </c>
      <c r="F1575" s="12" t="s">
        <v>73</v>
      </c>
      <c r="G1575" s="15">
        <v>100</v>
      </c>
      <c r="H1575" s="12" t="s">
        <v>238</v>
      </c>
      <c r="I1575" s="12" t="s">
        <v>58</v>
      </c>
      <c r="K1575" s="16">
        <v>39.69</v>
      </c>
      <c r="L1575" s="16">
        <v>59.95</v>
      </c>
      <c r="M1575" s="16">
        <v>61.95</v>
      </c>
    </row>
    <row r="1576" spans="1:13" outlineLevel="2" x14ac:dyDescent="0.2"/>
    <row r="1577" spans="1:13" outlineLevel="3" x14ac:dyDescent="0.2">
      <c r="B1577" s="4" t="str">
        <f>"0001850030"</f>
        <v>0001850030</v>
      </c>
      <c r="C1577" s="5" t="str">
        <f>"174292"</f>
        <v>174292</v>
      </c>
      <c r="D1577" s="12" t="s">
        <v>239</v>
      </c>
      <c r="E1577" s="14" t="s">
        <v>179</v>
      </c>
      <c r="F1577" s="12" t="s">
        <v>73</v>
      </c>
      <c r="G1577" s="15">
        <v>30</v>
      </c>
      <c r="H1577" s="12" t="s">
        <v>238</v>
      </c>
      <c r="I1577" s="12" t="s">
        <v>240</v>
      </c>
      <c r="K1577" s="16">
        <v>4.05</v>
      </c>
      <c r="L1577" s="16">
        <v>6.46</v>
      </c>
      <c r="M1577" s="16">
        <v>7.96</v>
      </c>
    </row>
    <row r="1578" spans="1:13" outlineLevel="3" x14ac:dyDescent="0.2">
      <c r="B1578" s="4" t="str">
        <f>"0001850030"</f>
        <v>0001850030</v>
      </c>
      <c r="C1578" s="5" t="str">
        <f>"428573"</f>
        <v>428573</v>
      </c>
      <c r="D1578" s="12" t="s">
        <v>236</v>
      </c>
      <c r="E1578" s="14" t="s">
        <v>179</v>
      </c>
      <c r="F1578" s="12" t="s">
        <v>73</v>
      </c>
      <c r="G1578" s="15">
        <v>30</v>
      </c>
      <c r="H1578" s="12" t="s">
        <v>238</v>
      </c>
      <c r="I1578" s="12" t="s">
        <v>58</v>
      </c>
      <c r="K1578" s="16">
        <v>4.05</v>
      </c>
      <c r="L1578" s="16">
        <v>6.46</v>
      </c>
      <c r="M1578" s="16">
        <v>7.96</v>
      </c>
    </row>
    <row r="1579" spans="1:13" outlineLevel="2" x14ac:dyDescent="0.2"/>
    <row r="1580" spans="1:13" outlineLevel="3" x14ac:dyDescent="0.2">
      <c r="B1580" s="4" t="str">
        <f>"0001850100"</f>
        <v>0001850100</v>
      </c>
      <c r="C1580" s="5" t="str">
        <f>"174284"</f>
        <v>174284</v>
      </c>
      <c r="D1580" s="12" t="s">
        <v>239</v>
      </c>
      <c r="E1580" s="14" t="s">
        <v>179</v>
      </c>
      <c r="F1580" s="12" t="s">
        <v>73</v>
      </c>
      <c r="G1580" s="15">
        <v>100</v>
      </c>
      <c r="H1580" s="12" t="s">
        <v>238</v>
      </c>
      <c r="I1580" s="12" t="s">
        <v>240</v>
      </c>
      <c r="K1580" s="16">
        <v>12.79</v>
      </c>
      <c r="L1580" s="16">
        <v>20.010000000000002</v>
      </c>
      <c r="M1580" s="16">
        <v>21.51</v>
      </c>
    </row>
    <row r="1581" spans="1:13" outlineLevel="3" x14ac:dyDescent="0.2">
      <c r="B1581" s="4" t="str">
        <f>"0001850100"</f>
        <v>0001850100</v>
      </c>
      <c r="C1581" s="5" t="str">
        <f>"428581"</f>
        <v>428581</v>
      </c>
      <c r="D1581" s="12" t="s">
        <v>236</v>
      </c>
      <c r="E1581" s="14" t="s">
        <v>179</v>
      </c>
      <c r="F1581" s="12" t="s">
        <v>73</v>
      </c>
      <c r="G1581" s="15">
        <v>100</v>
      </c>
      <c r="H1581" s="12" t="s">
        <v>238</v>
      </c>
      <c r="I1581" s="12" t="s">
        <v>58</v>
      </c>
      <c r="K1581" s="16">
        <v>12.79</v>
      </c>
      <c r="L1581" s="16">
        <v>20.010000000000002</v>
      </c>
      <c r="M1581" s="16">
        <v>21.51</v>
      </c>
    </row>
    <row r="1582" spans="1:13" outlineLevel="2" x14ac:dyDescent="0.2">
      <c r="A1582" s="3" t="s">
        <v>1485</v>
      </c>
    </row>
    <row r="1583" spans="1:13" outlineLevel="3" x14ac:dyDescent="0.2">
      <c r="B1583" s="4" t="str">
        <f>"0014960030"</f>
        <v>0014960030</v>
      </c>
      <c r="C1583" s="5" t="str">
        <f>"155761"</f>
        <v>155761</v>
      </c>
      <c r="D1583" s="12" t="s">
        <v>1325</v>
      </c>
      <c r="E1583" s="14" t="s">
        <v>111</v>
      </c>
      <c r="F1583" s="12" t="s">
        <v>73</v>
      </c>
      <c r="G1583" s="15">
        <v>30</v>
      </c>
      <c r="H1583" s="12" t="s">
        <v>1326</v>
      </c>
      <c r="I1583" s="12" t="s">
        <v>408</v>
      </c>
      <c r="K1583" s="16">
        <v>0.95</v>
      </c>
      <c r="L1583" s="16">
        <v>1.52</v>
      </c>
      <c r="M1583" s="16">
        <v>3.02</v>
      </c>
    </row>
    <row r="1584" spans="1:13" outlineLevel="3" x14ac:dyDescent="0.2">
      <c r="B1584" s="4" t="str">
        <f>"0014960030"</f>
        <v>0014960030</v>
      </c>
      <c r="C1584" s="5" t="str">
        <f>"471557"</f>
        <v>471557</v>
      </c>
      <c r="D1584" s="12" t="s">
        <v>1327</v>
      </c>
      <c r="E1584" s="14" t="s">
        <v>111</v>
      </c>
      <c r="F1584" s="12" t="s">
        <v>73</v>
      </c>
      <c r="G1584" s="15">
        <v>30</v>
      </c>
      <c r="H1584" s="12" t="s">
        <v>1326</v>
      </c>
      <c r="I1584" s="12" t="s">
        <v>39</v>
      </c>
      <c r="K1584" s="16">
        <v>0.95</v>
      </c>
      <c r="L1584" s="16">
        <v>1.52</v>
      </c>
      <c r="M1584" s="16">
        <v>3.02</v>
      </c>
    </row>
    <row r="1585" spans="1:13" outlineLevel="2" x14ac:dyDescent="0.2"/>
    <row r="1586" spans="1:13" outlineLevel="3" x14ac:dyDescent="0.2">
      <c r="B1586" s="4" t="str">
        <f>"0014960100"</f>
        <v>0014960100</v>
      </c>
      <c r="C1586" s="5" t="str">
        <f>"557827"</f>
        <v>557827</v>
      </c>
      <c r="D1586" s="12" t="s">
        <v>1327</v>
      </c>
      <c r="E1586" s="14" t="s">
        <v>111</v>
      </c>
      <c r="F1586" s="12" t="s">
        <v>73</v>
      </c>
      <c r="G1586" s="15">
        <v>100</v>
      </c>
      <c r="H1586" s="12" t="s">
        <v>1326</v>
      </c>
      <c r="I1586" s="12" t="s">
        <v>39</v>
      </c>
      <c r="K1586" s="16">
        <v>2.14</v>
      </c>
      <c r="L1586" s="16">
        <v>3.41</v>
      </c>
      <c r="M1586" s="16">
        <v>4.68</v>
      </c>
    </row>
    <row r="1587" spans="1:13" outlineLevel="3" x14ac:dyDescent="0.2">
      <c r="B1587" s="4" t="str">
        <f>"0014960100"</f>
        <v>0014960100</v>
      </c>
      <c r="C1587" s="5" t="str">
        <f>"138281"</f>
        <v>138281</v>
      </c>
      <c r="D1587" s="12" t="s">
        <v>1325</v>
      </c>
      <c r="E1587" s="14" t="s">
        <v>111</v>
      </c>
      <c r="F1587" s="12" t="s">
        <v>73</v>
      </c>
      <c r="G1587" s="15">
        <v>100</v>
      </c>
      <c r="H1587" s="12" t="s">
        <v>1326</v>
      </c>
      <c r="I1587" s="12" t="s">
        <v>408</v>
      </c>
      <c r="K1587" s="16">
        <v>1.99</v>
      </c>
      <c r="L1587" s="16">
        <v>3.18</v>
      </c>
      <c r="M1587" s="16">
        <v>4.68</v>
      </c>
    </row>
    <row r="1588" spans="1:13" outlineLevel="2" x14ac:dyDescent="0.2"/>
    <row r="1589" spans="1:13" outlineLevel="3" x14ac:dyDescent="0.2">
      <c r="B1589" s="4" t="str">
        <f>"0014970030"</f>
        <v>0014970030</v>
      </c>
      <c r="C1589" s="5" t="str">
        <f>"067710"</f>
        <v>067710</v>
      </c>
      <c r="D1589" s="12" t="s">
        <v>1327</v>
      </c>
      <c r="E1589" s="14" t="s">
        <v>14</v>
      </c>
      <c r="F1589" s="12" t="s">
        <v>73</v>
      </c>
      <c r="G1589" s="15">
        <v>30</v>
      </c>
      <c r="H1589" s="12" t="s">
        <v>1326</v>
      </c>
      <c r="I1589" s="12" t="s">
        <v>39</v>
      </c>
      <c r="K1589" s="16">
        <v>3.47</v>
      </c>
      <c r="L1589" s="16">
        <v>5.53</v>
      </c>
      <c r="M1589" s="16">
        <v>6.47</v>
      </c>
    </row>
    <row r="1590" spans="1:13" outlineLevel="3" x14ac:dyDescent="0.2">
      <c r="B1590" s="4" t="str">
        <f>"0014970030"</f>
        <v>0014970030</v>
      </c>
      <c r="C1590" s="5" t="str">
        <f>"413692"</f>
        <v>413692</v>
      </c>
      <c r="D1590" s="12" t="s">
        <v>1325</v>
      </c>
      <c r="E1590" s="14" t="s">
        <v>14</v>
      </c>
      <c r="F1590" s="12" t="s">
        <v>73</v>
      </c>
      <c r="G1590" s="15">
        <v>30</v>
      </c>
      <c r="H1590" s="12" t="s">
        <v>1326</v>
      </c>
      <c r="I1590" s="12" t="s">
        <v>408</v>
      </c>
      <c r="K1590" s="16">
        <v>3.12</v>
      </c>
      <c r="L1590" s="16">
        <v>4.97</v>
      </c>
      <c r="M1590" s="16">
        <v>6.47</v>
      </c>
    </row>
    <row r="1591" spans="1:13" outlineLevel="2" x14ac:dyDescent="0.2"/>
    <row r="1592" spans="1:13" outlineLevel="3" x14ac:dyDescent="0.2">
      <c r="B1592" s="4" t="str">
        <f>"0014970100"</f>
        <v>0014970100</v>
      </c>
      <c r="C1592" s="5" t="str">
        <f>"067728"</f>
        <v>067728</v>
      </c>
      <c r="D1592" s="12" t="s">
        <v>1327</v>
      </c>
      <c r="E1592" s="14" t="s">
        <v>14</v>
      </c>
      <c r="F1592" s="12" t="s">
        <v>73</v>
      </c>
      <c r="G1592" s="15">
        <v>100</v>
      </c>
      <c r="H1592" s="12" t="s">
        <v>1326</v>
      </c>
      <c r="I1592" s="12" t="s">
        <v>39</v>
      </c>
      <c r="K1592" s="16">
        <v>10.43</v>
      </c>
      <c r="L1592" s="16">
        <v>16.5</v>
      </c>
      <c r="M1592" s="16">
        <v>16.48</v>
      </c>
    </row>
    <row r="1593" spans="1:13" outlineLevel="3" x14ac:dyDescent="0.2">
      <c r="B1593" s="4" t="str">
        <f>"0014970100"</f>
        <v>0014970100</v>
      </c>
      <c r="C1593" s="5" t="str">
        <f>"581334"</f>
        <v>581334</v>
      </c>
      <c r="D1593" s="12" t="s">
        <v>1325</v>
      </c>
      <c r="E1593" s="14" t="s">
        <v>14</v>
      </c>
      <c r="F1593" s="12" t="s">
        <v>73</v>
      </c>
      <c r="G1593" s="15">
        <v>100</v>
      </c>
      <c r="H1593" s="12" t="s">
        <v>1326</v>
      </c>
      <c r="I1593" s="12" t="s">
        <v>408</v>
      </c>
      <c r="K1593" s="16">
        <v>9.41</v>
      </c>
      <c r="L1593" s="16">
        <v>14.98</v>
      </c>
      <c r="M1593" s="16">
        <v>16.48</v>
      </c>
    </row>
    <row r="1594" spans="1:13" outlineLevel="1" x14ac:dyDescent="0.2">
      <c r="A1594" s="3"/>
    </row>
    <row r="1595" spans="1:13" outlineLevel="2" x14ac:dyDescent="0.2">
      <c r="A1595" s="3" t="s">
        <v>1486</v>
      </c>
    </row>
    <row r="1596" spans="1:13" outlineLevel="3" x14ac:dyDescent="0.2">
      <c r="B1596" s="4" t="str">
        <f>"0015500100"</f>
        <v>0015500100</v>
      </c>
      <c r="C1596" s="5" t="str">
        <f>"190322"</f>
        <v>190322</v>
      </c>
      <c r="D1596" s="12" t="s">
        <v>796</v>
      </c>
      <c r="E1596" s="14" t="s">
        <v>82</v>
      </c>
      <c r="F1596" s="12" t="s">
        <v>73</v>
      </c>
      <c r="G1596" s="15">
        <v>100</v>
      </c>
      <c r="H1596" s="12" t="s">
        <v>792</v>
      </c>
      <c r="I1596" s="12" t="s">
        <v>58</v>
      </c>
      <c r="K1596" s="16">
        <v>5.32</v>
      </c>
      <c r="L1596" s="16">
        <v>8.48</v>
      </c>
      <c r="M1596" s="16">
        <v>9.98</v>
      </c>
    </row>
    <row r="1597" spans="1:13" outlineLevel="1" x14ac:dyDescent="0.2">
      <c r="A1597" s="3"/>
    </row>
    <row r="1598" spans="1:13" outlineLevel="2" x14ac:dyDescent="0.2">
      <c r="A1598" s="3" t="s">
        <v>1487</v>
      </c>
    </row>
    <row r="1599" spans="1:13" ht="33.75" outlineLevel="3" x14ac:dyDescent="0.2">
      <c r="B1599" s="4" t="str">
        <f t="shared" ref="B1599:B1604" si="65">"0016560030"</f>
        <v>0016560030</v>
      </c>
      <c r="C1599" s="5" t="str">
        <f>"453891"</f>
        <v>453891</v>
      </c>
      <c r="D1599" s="12" t="s">
        <v>1377</v>
      </c>
      <c r="E1599" s="14" t="s">
        <v>31</v>
      </c>
      <c r="F1599" s="12" t="s">
        <v>3</v>
      </c>
      <c r="G1599" s="15">
        <v>28</v>
      </c>
      <c r="H1599" s="12" t="s">
        <v>1376</v>
      </c>
      <c r="I1599" s="12" t="s">
        <v>1378</v>
      </c>
      <c r="K1599" s="16">
        <v>163.85</v>
      </c>
      <c r="L1599" s="16">
        <v>224.47</v>
      </c>
      <c r="M1599" s="16">
        <v>92.04</v>
      </c>
    </row>
    <row r="1600" spans="1:13" ht="33.75" outlineLevel="3" x14ac:dyDescent="0.2">
      <c r="B1600" s="4" t="str">
        <f t="shared" si="65"/>
        <v>0016560030</v>
      </c>
      <c r="C1600" s="5" t="str">
        <f>"468103"</f>
        <v>468103</v>
      </c>
      <c r="D1600" s="12" t="s">
        <v>1375</v>
      </c>
      <c r="E1600" s="14" t="s">
        <v>31</v>
      </c>
      <c r="F1600" s="12" t="s">
        <v>3</v>
      </c>
      <c r="G1600" s="15">
        <v>28</v>
      </c>
      <c r="H1600" s="12" t="s">
        <v>1376</v>
      </c>
      <c r="I1600" s="12" t="s">
        <v>881</v>
      </c>
      <c r="J1600" s="2" t="s">
        <v>1400</v>
      </c>
      <c r="K1600" s="16">
        <v>66.66</v>
      </c>
      <c r="L1600" s="16">
        <v>97.76</v>
      </c>
      <c r="M1600" s="16">
        <v>92.04</v>
      </c>
    </row>
    <row r="1601" spans="2:13" ht="33.75" outlineLevel="3" x14ac:dyDescent="0.2">
      <c r="B1601" s="4" t="str">
        <f t="shared" si="65"/>
        <v>0016560030</v>
      </c>
      <c r="C1601" s="5" t="str">
        <f>"470551"</f>
        <v>470551</v>
      </c>
      <c r="D1601" s="12" t="s">
        <v>1379</v>
      </c>
      <c r="E1601" s="14" t="s">
        <v>31</v>
      </c>
      <c r="F1601" s="12" t="s">
        <v>3</v>
      </c>
      <c r="G1601" s="15">
        <v>28</v>
      </c>
      <c r="H1601" s="12" t="s">
        <v>1376</v>
      </c>
      <c r="I1601" s="12" t="s">
        <v>70</v>
      </c>
      <c r="K1601" s="16">
        <v>66.66</v>
      </c>
      <c r="L1601" s="16">
        <v>97.76</v>
      </c>
      <c r="M1601" s="16">
        <v>92.04</v>
      </c>
    </row>
    <row r="1602" spans="2:13" ht="33.75" outlineLevel="3" x14ac:dyDescent="0.2">
      <c r="B1602" s="4" t="str">
        <f t="shared" si="65"/>
        <v>0016560030</v>
      </c>
      <c r="C1602" s="5" t="str">
        <f>"542893"</f>
        <v>542893</v>
      </c>
      <c r="D1602" s="12" t="s">
        <v>1381</v>
      </c>
      <c r="E1602" s="14" t="s">
        <v>31</v>
      </c>
      <c r="F1602" s="12" t="s">
        <v>3</v>
      </c>
      <c r="G1602" s="15">
        <v>28</v>
      </c>
      <c r="H1602" s="12" t="s">
        <v>1376</v>
      </c>
      <c r="I1602" s="12" t="s">
        <v>5</v>
      </c>
      <c r="K1602" s="16">
        <v>66.66</v>
      </c>
      <c r="L1602" s="16">
        <v>97.76</v>
      </c>
      <c r="M1602" s="16">
        <v>92.04</v>
      </c>
    </row>
    <row r="1603" spans="2:13" ht="33.75" outlineLevel="3" x14ac:dyDescent="0.2">
      <c r="B1603" s="4" t="str">
        <f t="shared" si="65"/>
        <v>0016560030</v>
      </c>
      <c r="C1603" s="5" t="str">
        <f>"528945"</f>
        <v>528945</v>
      </c>
      <c r="D1603" s="12" t="s">
        <v>1380</v>
      </c>
      <c r="E1603" s="14" t="s">
        <v>31</v>
      </c>
      <c r="F1603" s="12" t="s">
        <v>3</v>
      </c>
      <c r="G1603" s="15">
        <v>28</v>
      </c>
      <c r="H1603" s="12" t="s">
        <v>1376</v>
      </c>
      <c r="I1603" s="12" t="s">
        <v>355</v>
      </c>
      <c r="K1603" s="16">
        <v>64.05</v>
      </c>
      <c r="L1603" s="16">
        <v>94.16</v>
      </c>
      <c r="M1603" s="16">
        <v>92.04</v>
      </c>
    </row>
    <row r="1604" spans="2:13" ht="33.75" outlineLevel="3" x14ac:dyDescent="0.2">
      <c r="B1604" s="4" t="str">
        <f t="shared" si="65"/>
        <v>0016560030</v>
      </c>
      <c r="C1604" s="5" t="str">
        <f>"599531"</f>
        <v>599531</v>
      </c>
      <c r="D1604" s="12" t="s">
        <v>1382</v>
      </c>
      <c r="E1604" s="14" t="s">
        <v>31</v>
      </c>
      <c r="F1604" s="12" t="s">
        <v>3</v>
      </c>
      <c r="G1604" s="15">
        <v>28</v>
      </c>
      <c r="H1604" s="12" t="s">
        <v>1376</v>
      </c>
      <c r="I1604" s="12" t="s">
        <v>79</v>
      </c>
      <c r="K1604" s="16">
        <v>61.05</v>
      </c>
      <c r="L1604" s="16">
        <v>90.04</v>
      </c>
      <c r="M1604" s="16">
        <v>92.04</v>
      </c>
    </row>
    <row r="1605" spans="2:13" outlineLevel="2" x14ac:dyDescent="0.2"/>
    <row r="1606" spans="2:13" ht="33.75" outlineLevel="3" x14ac:dyDescent="0.2">
      <c r="B1606" s="4" t="str">
        <f t="shared" ref="B1606:B1611" si="66">"0016570030"</f>
        <v>0016570030</v>
      </c>
      <c r="C1606" s="5" t="str">
        <f>"549575"</f>
        <v>549575</v>
      </c>
      <c r="D1606" s="12" t="s">
        <v>1377</v>
      </c>
      <c r="E1606" s="14" t="s">
        <v>605</v>
      </c>
      <c r="F1606" s="12" t="s">
        <v>3</v>
      </c>
      <c r="G1606" s="15">
        <v>28</v>
      </c>
      <c r="H1606" s="12" t="s">
        <v>1376</v>
      </c>
      <c r="I1606" s="12" t="s">
        <v>1378</v>
      </c>
      <c r="K1606" s="16">
        <v>302.45999999999998</v>
      </c>
      <c r="L1606" s="16">
        <v>399.81</v>
      </c>
      <c r="M1606" s="16">
        <v>193.95</v>
      </c>
    </row>
    <row r="1607" spans="2:13" ht="33.75" outlineLevel="3" x14ac:dyDescent="0.2">
      <c r="B1607" s="4" t="str">
        <f t="shared" si="66"/>
        <v>0016570030</v>
      </c>
      <c r="C1607" s="5" t="str">
        <f>"590947"</f>
        <v>590947</v>
      </c>
      <c r="D1607" s="12" t="s">
        <v>1382</v>
      </c>
      <c r="E1607" s="14" t="s">
        <v>605</v>
      </c>
      <c r="F1607" s="12" t="s">
        <v>3</v>
      </c>
      <c r="G1607" s="15">
        <v>28</v>
      </c>
      <c r="H1607" s="12" t="s">
        <v>1376</v>
      </c>
      <c r="I1607" s="12" t="s">
        <v>79</v>
      </c>
      <c r="K1607" s="16">
        <v>157.05000000000001</v>
      </c>
      <c r="L1607" s="16">
        <v>215.86</v>
      </c>
      <c r="M1607" s="16">
        <v>193.95</v>
      </c>
    </row>
    <row r="1608" spans="2:13" ht="33.75" outlineLevel="3" x14ac:dyDescent="0.2">
      <c r="B1608" s="4" t="str">
        <f t="shared" si="66"/>
        <v>0016570030</v>
      </c>
      <c r="C1608" s="5" t="str">
        <f>"193411"</f>
        <v>193411</v>
      </c>
      <c r="D1608" s="12" t="s">
        <v>1375</v>
      </c>
      <c r="E1608" s="14" t="s">
        <v>605</v>
      </c>
      <c r="F1608" s="12" t="s">
        <v>3</v>
      </c>
      <c r="G1608" s="15">
        <v>28</v>
      </c>
      <c r="H1608" s="12" t="s">
        <v>1376</v>
      </c>
      <c r="I1608" s="12" t="s">
        <v>881</v>
      </c>
      <c r="J1608" s="2" t="s">
        <v>1400</v>
      </c>
      <c r="K1608" s="16">
        <v>143.06</v>
      </c>
      <c r="L1608" s="16">
        <v>198.17</v>
      </c>
      <c r="M1608" s="16">
        <v>193.95</v>
      </c>
    </row>
    <row r="1609" spans="2:13" ht="33.75" outlineLevel="3" x14ac:dyDescent="0.2">
      <c r="B1609" s="4" t="str">
        <f t="shared" si="66"/>
        <v>0016570030</v>
      </c>
      <c r="C1609" s="5" t="str">
        <f>"192296"</f>
        <v>192296</v>
      </c>
      <c r="D1609" s="12" t="s">
        <v>1379</v>
      </c>
      <c r="E1609" s="14" t="s">
        <v>605</v>
      </c>
      <c r="F1609" s="12" t="s">
        <v>3</v>
      </c>
      <c r="G1609" s="15">
        <v>28</v>
      </c>
      <c r="H1609" s="12" t="s">
        <v>1376</v>
      </c>
      <c r="I1609" s="12" t="s">
        <v>70</v>
      </c>
      <c r="K1609" s="16">
        <v>143.06</v>
      </c>
      <c r="L1609" s="16">
        <v>198.17</v>
      </c>
      <c r="M1609" s="16">
        <v>193.95</v>
      </c>
    </row>
    <row r="1610" spans="2:13" ht="33.75" outlineLevel="3" x14ac:dyDescent="0.2">
      <c r="B1610" s="4" t="str">
        <f t="shared" si="66"/>
        <v>0016570030</v>
      </c>
      <c r="C1610" s="5" t="str">
        <f>"564892"</f>
        <v>564892</v>
      </c>
      <c r="D1610" s="12" t="s">
        <v>1381</v>
      </c>
      <c r="E1610" s="14" t="s">
        <v>605</v>
      </c>
      <c r="F1610" s="12" t="s">
        <v>3</v>
      </c>
      <c r="G1610" s="15">
        <v>28</v>
      </c>
      <c r="H1610" s="12" t="s">
        <v>1376</v>
      </c>
      <c r="I1610" s="12" t="s">
        <v>5</v>
      </c>
      <c r="K1610" s="16">
        <v>143.06</v>
      </c>
      <c r="L1610" s="16">
        <v>198.17</v>
      </c>
      <c r="M1610" s="16">
        <v>193.95</v>
      </c>
    </row>
    <row r="1611" spans="2:13" ht="33.75" outlineLevel="3" x14ac:dyDescent="0.2">
      <c r="B1611" s="4" t="str">
        <f t="shared" si="66"/>
        <v>0016570030</v>
      </c>
      <c r="C1611" s="5" t="str">
        <f>"180929"</f>
        <v>180929</v>
      </c>
      <c r="D1611" s="12" t="s">
        <v>1380</v>
      </c>
      <c r="E1611" s="14" t="s">
        <v>605</v>
      </c>
      <c r="F1611" s="12" t="s">
        <v>3</v>
      </c>
      <c r="G1611" s="15">
        <v>28</v>
      </c>
      <c r="H1611" s="12" t="s">
        <v>1376</v>
      </c>
      <c r="I1611" s="12" t="s">
        <v>355</v>
      </c>
      <c r="K1611" s="16">
        <v>138.15</v>
      </c>
      <c r="L1611" s="16">
        <v>191.95</v>
      </c>
      <c r="M1611" s="16">
        <v>193.95</v>
      </c>
    </row>
    <row r="1612" spans="2:13" outlineLevel="2" x14ac:dyDescent="0.2"/>
    <row r="1613" spans="2:13" ht="33.75" outlineLevel="3" x14ac:dyDescent="0.2">
      <c r="B1613" s="4" t="str">
        <f t="shared" ref="B1613:B1618" si="67">"0016580030"</f>
        <v>0016580030</v>
      </c>
      <c r="C1613" s="5" t="str">
        <f>"444217"</f>
        <v>444217</v>
      </c>
      <c r="D1613" s="12" t="s">
        <v>1377</v>
      </c>
      <c r="E1613" s="14" t="s">
        <v>1383</v>
      </c>
      <c r="F1613" s="12" t="s">
        <v>3</v>
      </c>
      <c r="G1613" s="15">
        <v>28</v>
      </c>
      <c r="H1613" s="12" t="s">
        <v>1376</v>
      </c>
      <c r="I1613" s="12" t="s">
        <v>1378</v>
      </c>
      <c r="K1613" s="16">
        <v>453.68</v>
      </c>
      <c r="L1613" s="16">
        <v>589.27</v>
      </c>
      <c r="M1613" s="16">
        <v>344.87</v>
      </c>
    </row>
    <row r="1614" spans="2:13" ht="33.75" outlineLevel="3" x14ac:dyDescent="0.2">
      <c r="B1614" s="4" t="str">
        <f t="shared" si="67"/>
        <v>0016580030</v>
      </c>
      <c r="C1614" s="5" t="str">
        <f>"131155"</f>
        <v>131155</v>
      </c>
      <c r="D1614" s="12" t="s">
        <v>1375</v>
      </c>
      <c r="E1614" s="14" t="s">
        <v>1383</v>
      </c>
      <c r="F1614" s="12" t="s">
        <v>3</v>
      </c>
      <c r="G1614" s="15">
        <v>28</v>
      </c>
      <c r="H1614" s="12" t="s">
        <v>1376</v>
      </c>
      <c r="I1614" s="12" t="s">
        <v>881</v>
      </c>
      <c r="J1614" s="2" t="s">
        <v>1400</v>
      </c>
      <c r="K1614" s="16">
        <v>261.60000000000002</v>
      </c>
      <c r="L1614" s="16">
        <v>348.12</v>
      </c>
      <c r="M1614" s="16">
        <v>344.87</v>
      </c>
    </row>
    <row r="1615" spans="2:13" ht="33.75" outlineLevel="3" x14ac:dyDescent="0.2">
      <c r="B1615" s="4" t="str">
        <f t="shared" si="67"/>
        <v>0016580030</v>
      </c>
      <c r="C1615" s="5" t="str">
        <f>"034749"</f>
        <v>034749</v>
      </c>
      <c r="D1615" s="12" t="s">
        <v>1380</v>
      </c>
      <c r="E1615" s="14" t="s">
        <v>1383</v>
      </c>
      <c r="F1615" s="12" t="s">
        <v>3</v>
      </c>
      <c r="G1615" s="15">
        <v>28</v>
      </c>
      <c r="H1615" s="12" t="s">
        <v>1376</v>
      </c>
      <c r="I1615" s="12" t="s">
        <v>355</v>
      </c>
      <c r="K1615" s="16">
        <v>261.60000000000002</v>
      </c>
      <c r="L1615" s="16">
        <v>348.12</v>
      </c>
      <c r="M1615" s="16">
        <v>344.87</v>
      </c>
    </row>
    <row r="1616" spans="2:13" ht="33.75" outlineLevel="3" x14ac:dyDescent="0.2">
      <c r="B1616" s="4" t="str">
        <f t="shared" si="67"/>
        <v>0016580030</v>
      </c>
      <c r="C1616" s="5" t="str">
        <f>"502423"</f>
        <v>502423</v>
      </c>
      <c r="D1616" s="12" t="s">
        <v>1381</v>
      </c>
      <c r="E1616" s="14" t="s">
        <v>1383</v>
      </c>
      <c r="F1616" s="12" t="s">
        <v>3</v>
      </c>
      <c r="G1616" s="15">
        <v>28</v>
      </c>
      <c r="H1616" s="12" t="s">
        <v>1376</v>
      </c>
      <c r="I1616" s="12" t="s">
        <v>5</v>
      </c>
      <c r="K1616" s="16">
        <v>261.60000000000002</v>
      </c>
      <c r="L1616" s="16">
        <v>348.12</v>
      </c>
      <c r="M1616" s="16">
        <v>344.87</v>
      </c>
    </row>
    <row r="1617" spans="1:13" ht="33.75" outlineLevel="3" x14ac:dyDescent="0.2">
      <c r="B1617" s="4" t="str">
        <f t="shared" si="67"/>
        <v>0016580030</v>
      </c>
      <c r="C1617" s="5" t="str">
        <f>"545110"</f>
        <v>545110</v>
      </c>
      <c r="D1617" s="12" t="s">
        <v>1379</v>
      </c>
      <c r="E1617" s="14" t="s">
        <v>1383</v>
      </c>
      <c r="F1617" s="12" t="s">
        <v>3</v>
      </c>
      <c r="G1617" s="15">
        <v>28</v>
      </c>
      <c r="H1617" s="12" t="s">
        <v>1376</v>
      </c>
      <c r="I1617" s="12" t="s">
        <v>70</v>
      </c>
      <c r="K1617" s="16">
        <v>261.60000000000002</v>
      </c>
      <c r="L1617" s="16">
        <v>348.12</v>
      </c>
      <c r="M1617" s="16">
        <v>344.87</v>
      </c>
    </row>
    <row r="1618" spans="1:13" ht="33.75" outlineLevel="3" x14ac:dyDescent="0.2">
      <c r="B1618" s="4" t="str">
        <f t="shared" si="67"/>
        <v>0016580030</v>
      </c>
      <c r="C1618" s="5" t="str">
        <f>"445580"</f>
        <v>445580</v>
      </c>
      <c r="D1618" s="12" t="s">
        <v>1382</v>
      </c>
      <c r="E1618" s="14" t="s">
        <v>1383</v>
      </c>
      <c r="F1618" s="12" t="s">
        <v>3</v>
      </c>
      <c r="G1618" s="15">
        <v>28</v>
      </c>
      <c r="H1618" s="12" t="s">
        <v>1376</v>
      </c>
      <c r="I1618" s="12" t="s">
        <v>79</v>
      </c>
      <c r="K1618" s="16">
        <v>257.45</v>
      </c>
      <c r="L1618" s="16">
        <v>342.87</v>
      </c>
      <c r="M1618" s="16">
        <v>344.87</v>
      </c>
    </row>
    <row r="1619" spans="1:13" outlineLevel="1" x14ac:dyDescent="0.2">
      <c r="A1619" s="3"/>
    </row>
    <row r="1620" spans="1:13" outlineLevel="2" x14ac:dyDescent="0.2">
      <c r="A1620" s="3" t="s">
        <v>1488</v>
      </c>
    </row>
    <row r="1621" spans="1:13" outlineLevel="3" x14ac:dyDescent="0.2">
      <c r="B1621" s="4" t="str">
        <f>"0001880008"</f>
        <v>0001880008</v>
      </c>
      <c r="C1621" s="5" t="str">
        <f>"180190"</f>
        <v>180190</v>
      </c>
      <c r="D1621" s="12" t="s">
        <v>241</v>
      </c>
      <c r="E1621" s="14" t="s">
        <v>118</v>
      </c>
      <c r="F1621" s="12" t="s">
        <v>73</v>
      </c>
      <c r="G1621" s="15">
        <v>8</v>
      </c>
      <c r="H1621" s="12" t="s">
        <v>242</v>
      </c>
      <c r="I1621" s="12" t="s">
        <v>64</v>
      </c>
      <c r="K1621" s="16">
        <v>2.23</v>
      </c>
      <c r="L1621" s="16">
        <v>3.55</v>
      </c>
      <c r="M1621" s="16">
        <v>5.05</v>
      </c>
    </row>
    <row r="1622" spans="1:13" outlineLevel="2" x14ac:dyDescent="0.2"/>
    <row r="1623" spans="1:13" outlineLevel="3" x14ac:dyDescent="0.2">
      <c r="B1623" s="4" t="str">
        <f>"0001880010"</f>
        <v>0001880010</v>
      </c>
      <c r="C1623" s="5" t="str">
        <f>"464743"</f>
        <v>464743</v>
      </c>
      <c r="D1623" s="12" t="s">
        <v>244</v>
      </c>
      <c r="E1623" s="14" t="s">
        <v>118</v>
      </c>
      <c r="F1623" s="12" t="s">
        <v>73</v>
      </c>
      <c r="G1623" s="15">
        <v>10</v>
      </c>
      <c r="H1623" s="12" t="s">
        <v>242</v>
      </c>
      <c r="I1623" s="12" t="s">
        <v>58</v>
      </c>
      <c r="K1623" s="16">
        <v>3.14</v>
      </c>
      <c r="L1623" s="16">
        <v>5.01</v>
      </c>
      <c r="M1623" s="16">
        <v>6.35</v>
      </c>
    </row>
    <row r="1624" spans="1:13" outlineLevel="3" x14ac:dyDescent="0.2">
      <c r="B1624" s="4" t="str">
        <f>"0001880010"</f>
        <v>0001880010</v>
      </c>
      <c r="C1624" s="5" t="str">
        <f>"172163"</f>
        <v>172163</v>
      </c>
      <c r="D1624" s="12" t="s">
        <v>243</v>
      </c>
      <c r="E1624" s="14" t="s">
        <v>118</v>
      </c>
      <c r="F1624" s="12" t="s">
        <v>73</v>
      </c>
      <c r="G1624" s="15">
        <v>10</v>
      </c>
      <c r="H1624" s="12" t="s">
        <v>242</v>
      </c>
      <c r="I1624" s="12" t="s">
        <v>5</v>
      </c>
      <c r="K1624" s="16">
        <v>3.04</v>
      </c>
      <c r="L1624" s="16">
        <v>4.8499999999999996</v>
      </c>
      <c r="M1624" s="16">
        <v>6.35</v>
      </c>
    </row>
    <row r="1625" spans="1:13" outlineLevel="3" x14ac:dyDescent="0.2">
      <c r="B1625" s="4" t="str">
        <f>"0001880010"</f>
        <v>0001880010</v>
      </c>
      <c r="C1625" s="5" t="str">
        <f>"532259"</f>
        <v>532259</v>
      </c>
      <c r="D1625" s="12" t="s">
        <v>241</v>
      </c>
      <c r="E1625" s="14" t="s">
        <v>118</v>
      </c>
      <c r="F1625" s="12" t="s">
        <v>73</v>
      </c>
      <c r="G1625" s="15">
        <v>10</v>
      </c>
      <c r="H1625" s="12" t="s">
        <v>242</v>
      </c>
      <c r="I1625" s="12" t="s">
        <v>64</v>
      </c>
      <c r="K1625" s="16">
        <v>3.04</v>
      </c>
      <c r="L1625" s="16">
        <v>4.8499999999999996</v>
      </c>
      <c r="M1625" s="16">
        <v>6.35</v>
      </c>
    </row>
    <row r="1626" spans="1:13" outlineLevel="2" x14ac:dyDescent="0.2"/>
    <row r="1627" spans="1:13" outlineLevel="3" x14ac:dyDescent="0.2">
      <c r="B1627" s="4" t="str">
        <f>"0001880050"</f>
        <v>0001880050</v>
      </c>
      <c r="C1627" s="5" t="str">
        <f>"466706"</f>
        <v>466706</v>
      </c>
      <c r="D1627" s="12" t="s">
        <v>244</v>
      </c>
      <c r="E1627" s="14" t="s">
        <v>118</v>
      </c>
      <c r="F1627" s="12" t="s">
        <v>73</v>
      </c>
      <c r="G1627" s="15">
        <v>50</v>
      </c>
      <c r="H1627" s="12" t="s">
        <v>242</v>
      </c>
      <c r="I1627" s="12" t="s">
        <v>58</v>
      </c>
      <c r="K1627" s="16">
        <v>14.84</v>
      </c>
      <c r="L1627" s="16">
        <v>23.05</v>
      </c>
      <c r="M1627" s="16">
        <v>23.05</v>
      </c>
    </row>
    <row r="1628" spans="1:13" outlineLevel="3" x14ac:dyDescent="0.2">
      <c r="B1628" s="4" t="str">
        <f>"0001880050"</f>
        <v>0001880050</v>
      </c>
      <c r="C1628" s="5" t="str">
        <f>"180182"</f>
        <v>180182</v>
      </c>
      <c r="D1628" s="12" t="s">
        <v>241</v>
      </c>
      <c r="E1628" s="14" t="s">
        <v>118</v>
      </c>
      <c r="F1628" s="12" t="s">
        <v>73</v>
      </c>
      <c r="G1628" s="15">
        <v>50</v>
      </c>
      <c r="H1628" s="12" t="s">
        <v>242</v>
      </c>
      <c r="I1628" s="12" t="s">
        <v>64</v>
      </c>
      <c r="K1628" s="16">
        <v>13.83</v>
      </c>
      <c r="L1628" s="16">
        <v>21.55</v>
      </c>
      <c r="M1628" s="16">
        <v>23.05</v>
      </c>
    </row>
    <row r="1629" spans="1:13" outlineLevel="2" x14ac:dyDescent="0.2"/>
    <row r="1630" spans="1:13" outlineLevel="3" x14ac:dyDescent="0.2">
      <c r="B1630" s="4" t="str">
        <f>"0001890008"</f>
        <v>0001890008</v>
      </c>
      <c r="C1630" s="5" t="str">
        <f>"380766"</f>
        <v>380766</v>
      </c>
      <c r="D1630" s="12" t="s">
        <v>243</v>
      </c>
      <c r="E1630" s="14" t="s">
        <v>2</v>
      </c>
      <c r="F1630" s="12" t="s">
        <v>73</v>
      </c>
      <c r="G1630" s="15">
        <v>8</v>
      </c>
      <c r="H1630" s="12" t="s">
        <v>242</v>
      </c>
      <c r="I1630" s="12" t="s">
        <v>5</v>
      </c>
      <c r="K1630" s="16">
        <v>2.66</v>
      </c>
      <c r="L1630" s="16">
        <v>4.25</v>
      </c>
      <c r="M1630" s="16">
        <v>5.32</v>
      </c>
    </row>
    <row r="1631" spans="1:13" outlineLevel="3" x14ac:dyDescent="0.2">
      <c r="B1631" s="4" t="str">
        <f>"0001890008"</f>
        <v>0001890008</v>
      </c>
      <c r="C1631" s="5" t="str">
        <f>"537324"</f>
        <v>537324</v>
      </c>
      <c r="D1631" s="12" t="s">
        <v>244</v>
      </c>
      <c r="E1631" s="14" t="s">
        <v>2</v>
      </c>
      <c r="F1631" s="12" t="s">
        <v>73</v>
      </c>
      <c r="G1631" s="15">
        <v>8</v>
      </c>
      <c r="H1631" s="12" t="s">
        <v>242</v>
      </c>
      <c r="I1631" s="12" t="s">
        <v>58</v>
      </c>
      <c r="K1631" s="16">
        <v>2.66</v>
      </c>
      <c r="L1631" s="16">
        <v>4.25</v>
      </c>
      <c r="M1631" s="16">
        <v>5.32</v>
      </c>
    </row>
    <row r="1632" spans="1:13" outlineLevel="3" x14ac:dyDescent="0.2">
      <c r="B1632" s="4" t="str">
        <f>"0001890008"</f>
        <v>0001890008</v>
      </c>
      <c r="C1632" s="5" t="str">
        <f>"181230"</f>
        <v>181230</v>
      </c>
      <c r="D1632" s="12" t="s">
        <v>241</v>
      </c>
      <c r="E1632" s="14" t="s">
        <v>2</v>
      </c>
      <c r="F1632" s="12" t="s">
        <v>73</v>
      </c>
      <c r="G1632" s="15">
        <v>8</v>
      </c>
      <c r="H1632" s="12" t="s">
        <v>242</v>
      </c>
      <c r="I1632" s="12" t="s">
        <v>64</v>
      </c>
      <c r="K1632" s="16">
        <v>2.39</v>
      </c>
      <c r="L1632" s="16">
        <v>3.82</v>
      </c>
      <c r="M1632" s="16">
        <v>5.32</v>
      </c>
    </row>
    <row r="1633" spans="1:13" outlineLevel="2" x14ac:dyDescent="0.2"/>
    <row r="1634" spans="1:13" outlineLevel="3" x14ac:dyDescent="0.2">
      <c r="B1634" s="4" t="str">
        <f>"0001890010"</f>
        <v>0001890010</v>
      </c>
      <c r="C1634" s="5" t="str">
        <f>"537332"</f>
        <v>537332</v>
      </c>
      <c r="D1634" s="12" t="s">
        <v>244</v>
      </c>
      <c r="E1634" s="14" t="s">
        <v>2</v>
      </c>
      <c r="F1634" s="12" t="s">
        <v>73</v>
      </c>
      <c r="G1634" s="15">
        <v>10</v>
      </c>
      <c r="H1634" s="12" t="s">
        <v>242</v>
      </c>
      <c r="I1634" s="12" t="s">
        <v>58</v>
      </c>
      <c r="K1634" s="16">
        <v>3.42</v>
      </c>
      <c r="L1634" s="16">
        <v>5.46</v>
      </c>
      <c r="M1634" s="16">
        <v>6.59</v>
      </c>
    </row>
    <row r="1635" spans="1:13" outlineLevel="3" x14ac:dyDescent="0.2">
      <c r="B1635" s="4" t="str">
        <f>"0001890010"</f>
        <v>0001890010</v>
      </c>
      <c r="C1635" s="5" t="str">
        <f>"584896"</f>
        <v>584896</v>
      </c>
      <c r="D1635" s="12" t="s">
        <v>243</v>
      </c>
      <c r="E1635" s="14" t="s">
        <v>2</v>
      </c>
      <c r="F1635" s="12" t="s">
        <v>73</v>
      </c>
      <c r="G1635" s="15">
        <v>10</v>
      </c>
      <c r="H1635" s="12" t="s">
        <v>242</v>
      </c>
      <c r="I1635" s="12" t="s">
        <v>5</v>
      </c>
      <c r="K1635" s="16">
        <v>3.42</v>
      </c>
      <c r="L1635" s="16">
        <v>5.46</v>
      </c>
      <c r="M1635" s="16">
        <v>6.59</v>
      </c>
    </row>
    <row r="1636" spans="1:13" outlineLevel="3" x14ac:dyDescent="0.2">
      <c r="B1636" s="4" t="str">
        <f>"0001890010"</f>
        <v>0001890010</v>
      </c>
      <c r="C1636" s="5" t="str">
        <f>"454900"</f>
        <v>454900</v>
      </c>
      <c r="D1636" s="12" t="s">
        <v>241</v>
      </c>
      <c r="E1636" s="14" t="s">
        <v>2</v>
      </c>
      <c r="F1636" s="12" t="s">
        <v>73</v>
      </c>
      <c r="G1636" s="15">
        <v>10</v>
      </c>
      <c r="H1636" s="12" t="s">
        <v>242</v>
      </c>
      <c r="I1636" s="12" t="s">
        <v>64</v>
      </c>
      <c r="K1636" s="16">
        <v>3.19</v>
      </c>
      <c r="L1636" s="16">
        <v>5.09</v>
      </c>
      <c r="M1636" s="16">
        <v>6.59</v>
      </c>
    </row>
    <row r="1637" spans="1:13" outlineLevel="2" x14ac:dyDescent="0.2"/>
    <row r="1638" spans="1:13" outlineLevel="3" x14ac:dyDescent="0.2">
      <c r="B1638" s="4" t="str">
        <f>"0001890100"</f>
        <v>0001890100</v>
      </c>
      <c r="C1638" s="5" t="str">
        <f>"537340"</f>
        <v>537340</v>
      </c>
      <c r="D1638" s="12" t="s">
        <v>244</v>
      </c>
      <c r="E1638" s="14" t="s">
        <v>2</v>
      </c>
      <c r="F1638" s="12" t="s">
        <v>73</v>
      </c>
      <c r="G1638" s="15">
        <v>100</v>
      </c>
      <c r="H1638" s="12" t="s">
        <v>242</v>
      </c>
      <c r="I1638" s="12" t="s">
        <v>58</v>
      </c>
      <c r="K1638" s="16">
        <v>30.81</v>
      </c>
      <c r="L1638" s="16">
        <v>46.76</v>
      </c>
      <c r="M1638" s="16">
        <v>48.76</v>
      </c>
    </row>
    <row r="1639" spans="1:13" outlineLevel="1" x14ac:dyDescent="0.2">
      <c r="A1639" s="3"/>
    </row>
    <row r="1640" spans="1:13" outlineLevel="2" x14ac:dyDescent="0.2">
      <c r="A1640" s="3" t="s">
        <v>1489</v>
      </c>
    </row>
    <row r="1641" spans="1:13" outlineLevel="3" x14ac:dyDescent="0.2">
      <c r="B1641" s="4" t="str">
        <f>"0013870100"</f>
        <v>0013870100</v>
      </c>
      <c r="C1641" s="5" t="str">
        <f>"012831"</f>
        <v>012831</v>
      </c>
      <c r="D1641" s="12" t="s">
        <v>1291</v>
      </c>
      <c r="E1641" s="14" t="s">
        <v>12</v>
      </c>
      <c r="F1641" s="12" t="s">
        <v>216</v>
      </c>
      <c r="G1641" s="15">
        <v>100</v>
      </c>
      <c r="H1641" s="12" t="s">
        <v>1292</v>
      </c>
      <c r="I1641" s="12" t="s">
        <v>609</v>
      </c>
      <c r="K1641" s="16">
        <v>14.2</v>
      </c>
      <c r="L1641" s="16">
        <v>22.1</v>
      </c>
      <c r="M1641" s="16">
        <v>23.6</v>
      </c>
    </row>
    <row r="1642" spans="1:13" ht="22.5" outlineLevel="3" x14ac:dyDescent="0.2">
      <c r="B1642" s="4" t="str">
        <f>"0013870100"</f>
        <v>0013870100</v>
      </c>
      <c r="C1642" s="5" t="str">
        <f>"100884"</f>
        <v>100884</v>
      </c>
      <c r="D1642" s="12" t="s">
        <v>1293</v>
      </c>
      <c r="E1642" s="14" t="s">
        <v>12</v>
      </c>
      <c r="F1642" s="12" t="s">
        <v>216</v>
      </c>
      <c r="G1642" s="15">
        <v>100</v>
      </c>
      <c r="H1642" s="12" t="s">
        <v>1292</v>
      </c>
      <c r="I1642" s="12" t="s">
        <v>68</v>
      </c>
      <c r="K1642" s="16">
        <v>14.2</v>
      </c>
      <c r="L1642" s="16">
        <v>22.1</v>
      </c>
      <c r="M1642" s="16">
        <v>23.6</v>
      </c>
    </row>
    <row r="1643" spans="1:13" outlineLevel="1" x14ac:dyDescent="0.2">
      <c r="A1643" s="3"/>
    </row>
    <row r="1644" spans="1:13" outlineLevel="2" x14ac:dyDescent="0.2">
      <c r="A1644" s="3" t="s">
        <v>1490</v>
      </c>
    </row>
    <row r="1645" spans="1:13" ht="33.75" outlineLevel="3" x14ac:dyDescent="0.2">
      <c r="B1645" s="4" t="str">
        <f>"0001900030"</f>
        <v>0001900030</v>
      </c>
      <c r="C1645" s="5" t="str">
        <f>"551903"</f>
        <v>551903</v>
      </c>
      <c r="D1645" s="12" t="s">
        <v>248</v>
      </c>
      <c r="E1645" s="14" t="s">
        <v>66</v>
      </c>
      <c r="F1645" s="12" t="s">
        <v>3</v>
      </c>
      <c r="G1645" s="15">
        <v>30</v>
      </c>
      <c r="H1645" s="12" t="s">
        <v>246</v>
      </c>
      <c r="I1645" s="12" t="s">
        <v>58</v>
      </c>
      <c r="K1645" s="16">
        <v>5.12</v>
      </c>
      <c r="L1645" s="16">
        <v>8.16</v>
      </c>
      <c r="M1645" s="16">
        <v>9.01</v>
      </c>
    </row>
    <row r="1646" spans="1:13" ht="33.75" outlineLevel="3" x14ac:dyDescent="0.2">
      <c r="B1646" s="4" t="str">
        <f>"0001900030"</f>
        <v>0001900030</v>
      </c>
      <c r="C1646" s="5" t="str">
        <f>"164038"</f>
        <v>164038</v>
      </c>
      <c r="D1646" s="12" t="s">
        <v>245</v>
      </c>
      <c r="E1646" s="14" t="s">
        <v>66</v>
      </c>
      <c r="F1646" s="12" t="s">
        <v>3</v>
      </c>
      <c r="G1646" s="15">
        <v>30</v>
      </c>
      <c r="H1646" s="12" t="s">
        <v>246</v>
      </c>
      <c r="I1646" s="12" t="s">
        <v>247</v>
      </c>
      <c r="K1646" s="16">
        <v>4.71</v>
      </c>
      <c r="L1646" s="16">
        <v>7.51</v>
      </c>
      <c r="M1646" s="16">
        <v>9.01</v>
      </c>
    </row>
    <row r="1647" spans="1:13" outlineLevel="2" x14ac:dyDescent="0.2"/>
    <row r="1648" spans="1:13" ht="33.75" outlineLevel="3" x14ac:dyDescent="0.2">
      <c r="B1648" s="4" t="str">
        <f>"0001900050"</f>
        <v>0001900050</v>
      </c>
      <c r="C1648" s="5" t="str">
        <f>"164046"</f>
        <v>164046</v>
      </c>
      <c r="D1648" s="12" t="s">
        <v>245</v>
      </c>
      <c r="E1648" s="14" t="s">
        <v>66</v>
      </c>
      <c r="F1648" s="12" t="s">
        <v>3</v>
      </c>
      <c r="G1648" s="15">
        <v>50</v>
      </c>
      <c r="H1648" s="12" t="s">
        <v>246</v>
      </c>
      <c r="I1648" s="12" t="s">
        <v>247</v>
      </c>
      <c r="K1648" s="16">
        <v>6.66</v>
      </c>
      <c r="L1648" s="16">
        <v>10.63</v>
      </c>
      <c r="M1648" s="16">
        <v>12.13</v>
      </c>
    </row>
    <row r="1649" spans="1:13" outlineLevel="2" x14ac:dyDescent="0.2"/>
    <row r="1650" spans="1:13" ht="33.75" outlineLevel="3" x14ac:dyDescent="0.2">
      <c r="B1650" s="4" t="str">
        <f>"0001900100"</f>
        <v>0001900100</v>
      </c>
      <c r="C1650" s="5" t="str">
        <f>"551861"</f>
        <v>551861</v>
      </c>
      <c r="D1650" s="12" t="s">
        <v>248</v>
      </c>
      <c r="E1650" s="14" t="s">
        <v>66</v>
      </c>
      <c r="F1650" s="12" t="s">
        <v>3</v>
      </c>
      <c r="G1650" s="15">
        <v>100</v>
      </c>
      <c r="H1650" s="12" t="s">
        <v>246</v>
      </c>
      <c r="I1650" s="12" t="s">
        <v>58</v>
      </c>
      <c r="K1650" s="16">
        <v>11.39</v>
      </c>
      <c r="L1650" s="16">
        <v>17.93</v>
      </c>
      <c r="M1650" s="16">
        <v>18.760000000000002</v>
      </c>
    </row>
    <row r="1651" spans="1:13" ht="33.75" outlineLevel="3" x14ac:dyDescent="0.2">
      <c r="B1651" s="4" t="str">
        <f>"0001900100"</f>
        <v>0001900100</v>
      </c>
      <c r="C1651" s="5" t="str">
        <f>"076299"</f>
        <v>076299</v>
      </c>
      <c r="D1651" s="12" t="s">
        <v>245</v>
      </c>
      <c r="E1651" s="14" t="s">
        <v>66</v>
      </c>
      <c r="F1651" s="12" t="s">
        <v>3</v>
      </c>
      <c r="G1651" s="15">
        <v>100</v>
      </c>
      <c r="H1651" s="12" t="s">
        <v>246</v>
      </c>
      <c r="I1651" s="12" t="s">
        <v>247</v>
      </c>
      <c r="K1651" s="16">
        <v>10.94</v>
      </c>
      <c r="L1651" s="16">
        <v>17.260000000000002</v>
      </c>
      <c r="M1651" s="16">
        <v>18.760000000000002</v>
      </c>
    </row>
    <row r="1652" spans="1:13" outlineLevel="1" x14ac:dyDescent="0.2">
      <c r="A1652" s="3"/>
    </row>
    <row r="1653" spans="1:13" outlineLevel="2" x14ac:dyDescent="0.2">
      <c r="A1653" s="3" t="s">
        <v>1491</v>
      </c>
    </row>
    <row r="1654" spans="1:13" ht="33.75" outlineLevel="3" x14ac:dyDescent="0.2">
      <c r="B1654" s="4" t="str">
        <f>"0001910030"</f>
        <v>0001910030</v>
      </c>
      <c r="C1654" s="5" t="str">
        <f>"006273"</f>
        <v>006273</v>
      </c>
      <c r="D1654" s="12" t="s">
        <v>249</v>
      </c>
      <c r="E1654" s="14" t="s">
        <v>250</v>
      </c>
      <c r="F1654" s="12" t="s">
        <v>251</v>
      </c>
      <c r="G1654" s="15" t="s">
        <v>252</v>
      </c>
      <c r="H1654" s="12" t="s">
        <v>253</v>
      </c>
      <c r="I1654" s="12" t="s">
        <v>58</v>
      </c>
      <c r="K1654" s="16">
        <v>5.39</v>
      </c>
      <c r="L1654" s="16">
        <v>8.6</v>
      </c>
      <c r="M1654" s="16">
        <v>10.1</v>
      </c>
    </row>
    <row r="1655" spans="1:13" outlineLevel="2" x14ac:dyDescent="0.2"/>
    <row r="1656" spans="1:13" ht="33.75" outlineLevel="3" x14ac:dyDescent="0.2">
      <c r="B1656" s="4" t="str">
        <f>"0001910040"</f>
        <v>0001910040</v>
      </c>
      <c r="C1656" s="5" t="str">
        <f>"496060"</f>
        <v>496060</v>
      </c>
      <c r="D1656" s="12" t="s">
        <v>254</v>
      </c>
      <c r="E1656" s="14" t="s">
        <v>250</v>
      </c>
      <c r="F1656" s="12" t="s">
        <v>251</v>
      </c>
      <c r="G1656" s="15" t="s">
        <v>255</v>
      </c>
      <c r="H1656" s="12" t="s">
        <v>253</v>
      </c>
      <c r="I1656" s="12" t="s">
        <v>5</v>
      </c>
      <c r="K1656" s="16">
        <v>6.5</v>
      </c>
      <c r="L1656" s="16">
        <v>10.37</v>
      </c>
      <c r="M1656" s="16">
        <v>11.87</v>
      </c>
    </row>
    <row r="1657" spans="1:13" ht="33.75" outlineLevel="3" x14ac:dyDescent="0.2">
      <c r="B1657" s="4" t="str">
        <f>"0001910050"</f>
        <v>0001910050</v>
      </c>
      <c r="C1657" s="5" t="str">
        <f>"006299"</f>
        <v>006299</v>
      </c>
      <c r="D1657" s="12" t="s">
        <v>249</v>
      </c>
      <c r="E1657" s="14" t="s">
        <v>250</v>
      </c>
      <c r="F1657" s="12" t="s">
        <v>251</v>
      </c>
      <c r="G1657" s="15" t="s">
        <v>256</v>
      </c>
      <c r="H1657" s="12" t="s">
        <v>253</v>
      </c>
      <c r="I1657" s="12" t="s">
        <v>58</v>
      </c>
      <c r="K1657" s="16">
        <v>8.74</v>
      </c>
      <c r="L1657" s="16">
        <v>13.94</v>
      </c>
      <c r="M1657" s="16">
        <v>15.44</v>
      </c>
    </row>
    <row r="1658" spans="1:13" outlineLevel="2" x14ac:dyDescent="0.2"/>
    <row r="1659" spans="1:13" ht="33.75" outlineLevel="3" x14ac:dyDescent="0.2">
      <c r="B1659" s="4" t="str">
        <f>"0001910060"</f>
        <v>0001910060</v>
      </c>
      <c r="C1659" s="5" t="str">
        <f>"420510"</f>
        <v>420510</v>
      </c>
      <c r="D1659" s="12" t="s">
        <v>254</v>
      </c>
      <c r="E1659" s="14" t="s">
        <v>250</v>
      </c>
      <c r="F1659" s="12" t="s">
        <v>251</v>
      </c>
      <c r="G1659" s="15" t="s">
        <v>257</v>
      </c>
      <c r="H1659" s="12" t="s">
        <v>253</v>
      </c>
      <c r="I1659" s="12" t="s">
        <v>5</v>
      </c>
      <c r="K1659" s="16">
        <v>9.3800000000000008</v>
      </c>
      <c r="L1659" s="16">
        <v>14.94</v>
      </c>
      <c r="M1659" s="16">
        <v>16.440000000000001</v>
      </c>
    </row>
    <row r="1660" spans="1:13" outlineLevel="2" x14ac:dyDescent="0.2"/>
    <row r="1661" spans="1:13" ht="33.75" outlineLevel="3" x14ac:dyDescent="0.2">
      <c r="B1661" s="4" t="str">
        <f>"0001930014"</f>
        <v>0001930014</v>
      </c>
      <c r="C1661" s="5" t="str">
        <f>"006180"</f>
        <v>006180</v>
      </c>
      <c r="D1661" s="12" t="s">
        <v>249</v>
      </c>
      <c r="E1661" s="14" t="s">
        <v>258</v>
      </c>
      <c r="F1661" s="12" t="s">
        <v>3</v>
      </c>
      <c r="G1661" s="15">
        <v>14</v>
      </c>
      <c r="H1661" s="12" t="s">
        <v>253</v>
      </c>
      <c r="I1661" s="12" t="s">
        <v>58</v>
      </c>
      <c r="K1661" s="16">
        <v>5.04</v>
      </c>
      <c r="L1661" s="16">
        <v>8.0399999999999991</v>
      </c>
      <c r="M1661" s="16">
        <v>9.5399999999999991</v>
      </c>
    </row>
    <row r="1662" spans="1:13" ht="33.75" outlineLevel="3" x14ac:dyDescent="0.2">
      <c r="B1662" s="4" t="str">
        <f>"0001930014"</f>
        <v>0001930014</v>
      </c>
      <c r="C1662" s="5" t="str">
        <f>"064923"</f>
        <v>064923</v>
      </c>
      <c r="D1662" s="12" t="s">
        <v>254</v>
      </c>
      <c r="E1662" s="14" t="s">
        <v>258</v>
      </c>
      <c r="F1662" s="12" t="s">
        <v>3</v>
      </c>
      <c r="G1662" s="15">
        <v>14</v>
      </c>
      <c r="H1662" s="12" t="s">
        <v>253</v>
      </c>
      <c r="I1662" s="12" t="s">
        <v>5</v>
      </c>
      <c r="K1662" s="16">
        <v>5.04</v>
      </c>
      <c r="L1662" s="16">
        <v>8.0399999999999991</v>
      </c>
      <c r="M1662" s="16">
        <v>9.5399999999999991</v>
      </c>
    </row>
    <row r="1663" spans="1:13" outlineLevel="2" x14ac:dyDescent="0.2"/>
    <row r="1664" spans="1:13" ht="33.75" outlineLevel="3" x14ac:dyDescent="0.2">
      <c r="B1664" s="4" t="str">
        <f>"0001930020"</f>
        <v>0001930020</v>
      </c>
      <c r="C1664" s="5" t="str">
        <f>"370395"</f>
        <v>370395</v>
      </c>
      <c r="D1664" s="12" t="s">
        <v>254</v>
      </c>
      <c r="E1664" s="14" t="s">
        <v>258</v>
      </c>
      <c r="F1664" s="12" t="s">
        <v>3</v>
      </c>
      <c r="G1664" s="15">
        <v>20</v>
      </c>
      <c r="H1664" s="12" t="s">
        <v>253</v>
      </c>
      <c r="I1664" s="12" t="s">
        <v>5</v>
      </c>
      <c r="K1664" s="16">
        <v>6.13</v>
      </c>
      <c r="L1664" s="16">
        <v>9.7799999999999994</v>
      </c>
      <c r="M1664" s="16">
        <v>10.85</v>
      </c>
    </row>
    <row r="1665" spans="2:13" ht="33.75" outlineLevel="3" x14ac:dyDescent="0.2">
      <c r="B1665" s="4" t="str">
        <f>"0001930020"</f>
        <v>0001930020</v>
      </c>
      <c r="C1665" s="5" t="str">
        <f>"006810"</f>
        <v>006810</v>
      </c>
      <c r="D1665" s="12" t="s">
        <v>249</v>
      </c>
      <c r="E1665" s="14" t="s">
        <v>258</v>
      </c>
      <c r="F1665" s="12" t="s">
        <v>3</v>
      </c>
      <c r="G1665" s="15">
        <v>20</v>
      </c>
      <c r="H1665" s="12" t="s">
        <v>253</v>
      </c>
      <c r="I1665" s="12" t="s">
        <v>58</v>
      </c>
      <c r="K1665" s="16">
        <v>5.86</v>
      </c>
      <c r="L1665" s="16">
        <v>9.35</v>
      </c>
      <c r="M1665" s="16">
        <v>10.85</v>
      </c>
    </row>
    <row r="1666" spans="2:13" outlineLevel="2" x14ac:dyDescent="0.2"/>
    <row r="1667" spans="2:13" ht="33.75" outlineLevel="3" x14ac:dyDescent="0.2">
      <c r="B1667" s="4" t="str">
        <f>"0001940060"</f>
        <v>0001940060</v>
      </c>
      <c r="C1667" s="5" t="str">
        <f>"006334"</f>
        <v>006334</v>
      </c>
      <c r="D1667" s="12" t="s">
        <v>249</v>
      </c>
      <c r="E1667" s="14" t="s">
        <v>259</v>
      </c>
      <c r="F1667" s="12" t="s">
        <v>251</v>
      </c>
      <c r="G1667" s="15" t="s">
        <v>257</v>
      </c>
      <c r="H1667" s="12" t="s">
        <v>253</v>
      </c>
      <c r="I1667" s="12" t="s">
        <v>58</v>
      </c>
      <c r="K1667" s="16">
        <v>5.39</v>
      </c>
      <c r="L1667" s="16">
        <v>8.6</v>
      </c>
      <c r="M1667" s="16">
        <v>10.1</v>
      </c>
    </row>
    <row r="1668" spans="2:13" outlineLevel="2" x14ac:dyDescent="0.2"/>
    <row r="1669" spans="2:13" ht="33.75" outlineLevel="3" x14ac:dyDescent="0.2">
      <c r="B1669" s="4" t="str">
        <f>"0001940100"</f>
        <v>0001940100</v>
      </c>
      <c r="C1669" s="5" t="str">
        <f>"006350"</f>
        <v>006350</v>
      </c>
      <c r="D1669" s="12" t="s">
        <v>249</v>
      </c>
      <c r="E1669" s="14" t="s">
        <v>259</v>
      </c>
      <c r="F1669" s="12" t="s">
        <v>251</v>
      </c>
      <c r="G1669" s="15" t="s">
        <v>260</v>
      </c>
      <c r="H1669" s="12" t="s">
        <v>253</v>
      </c>
      <c r="I1669" s="12" t="s">
        <v>58</v>
      </c>
      <c r="K1669" s="16">
        <v>8.98</v>
      </c>
      <c r="L1669" s="16">
        <v>14.32</v>
      </c>
      <c r="M1669" s="16">
        <v>15.82</v>
      </c>
    </row>
    <row r="1670" spans="2:13" ht="33.75" outlineLevel="3" x14ac:dyDescent="0.2">
      <c r="B1670" s="4" t="str">
        <f>"0001940100"</f>
        <v>0001940100</v>
      </c>
      <c r="C1670" s="5" t="str">
        <f>"112873"</f>
        <v>112873</v>
      </c>
      <c r="D1670" s="12" t="s">
        <v>254</v>
      </c>
      <c r="E1670" s="14" t="s">
        <v>259</v>
      </c>
      <c r="F1670" s="12" t="s">
        <v>251</v>
      </c>
      <c r="G1670" s="15" t="s">
        <v>260</v>
      </c>
      <c r="H1670" s="12" t="s">
        <v>253</v>
      </c>
      <c r="I1670" s="12" t="s">
        <v>5</v>
      </c>
      <c r="K1670" s="16">
        <v>8.98</v>
      </c>
      <c r="L1670" s="16">
        <v>14.32</v>
      </c>
      <c r="M1670" s="16">
        <v>15.82</v>
      </c>
    </row>
    <row r="1671" spans="2:13" ht="33.75" outlineLevel="3" x14ac:dyDescent="0.2">
      <c r="B1671" s="4" t="str">
        <f>"0001960014"</f>
        <v>0001960014</v>
      </c>
      <c r="C1671" s="5" t="str">
        <f>"006192"</f>
        <v>006192</v>
      </c>
      <c r="D1671" s="12" t="s">
        <v>249</v>
      </c>
      <c r="E1671" s="14" t="s">
        <v>66</v>
      </c>
      <c r="F1671" s="12" t="s">
        <v>3</v>
      </c>
      <c r="G1671" s="15">
        <v>14</v>
      </c>
      <c r="H1671" s="12" t="s">
        <v>253</v>
      </c>
      <c r="I1671" s="12" t="s">
        <v>58</v>
      </c>
      <c r="K1671" s="16">
        <v>5.71</v>
      </c>
      <c r="L1671" s="16">
        <v>9.11</v>
      </c>
      <c r="M1671" s="16">
        <v>10.6</v>
      </c>
    </row>
    <row r="1672" spans="2:13" ht="22.5" outlineLevel="3" x14ac:dyDescent="0.2">
      <c r="B1672" s="4" t="str">
        <f>"0001960014"</f>
        <v>0001960014</v>
      </c>
      <c r="C1672" s="5" t="str">
        <f>"127697"</f>
        <v>127697</v>
      </c>
      <c r="D1672" s="12" t="s">
        <v>261</v>
      </c>
      <c r="E1672" s="14" t="s">
        <v>66</v>
      </c>
      <c r="F1672" s="12" t="s">
        <v>262</v>
      </c>
      <c r="G1672" s="15">
        <v>14</v>
      </c>
      <c r="H1672" s="12" t="s">
        <v>253</v>
      </c>
      <c r="I1672" s="12" t="s">
        <v>70</v>
      </c>
      <c r="K1672" s="16">
        <v>5.71</v>
      </c>
      <c r="L1672" s="16">
        <v>9.11</v>
      </c>
      <c r="M1672" s="16">
        <v>10.6</v>
      </c>
    </row>
    <row r="1673" spans="2:13" ht="33.75" outlineLevel="3" x14ac:dyDescent="0.2">
      <c r="B1673" s="4" t="str">
        <f>"0001960014"</f>
        <v>0001960014</v>
      </c>
      <c r="C1673" s="5" t="str">
        <f>"065136"</f>
        <v>065136</v>
      </c>
      <c r="D1673" s="12" t="s">
        <v>254</v>
      </c>
      <c r="E1673" s="14" t="s">
        <v>66</v>
      </c>
      <c r="F1673" s="12" t="s">
        <v>3</v>
      </c>
      <c r="G1673" s="15">
        <v>14</v>
      </c>
      <c r="H1673" s="12" t="s">
        <v>253</v>
      </c>
      <c r="I1673" s="12" t="s">
        <v>5</v>
      </c>
      <c r="K1673" s="16">
        <v>5.7</v>
      </c>
      <c r="L1673" s="16">
        <v>9.1</v>
      </c>
      <c r="M1673" s="16">
        <v>10.6</v>
      </c>
    </row>
    <row r="1674" spans="2:13" outlineLevel="2" x14ac:dyDescent="0.2"/>
    <row r="1675" spans="2:13" ht="33.75" outlineLevel="3" x14ac:dyDescent="0.2">
      <c r="B1675" s="4" t="str">
        <f>"0001960020"</f>
        <v>0001960020</v>
      </c>
      <c r="C1675" s="5" t="str">
        <f>"006989"</f>
        <v>006989</v>
      </c>
      <c r="D1675" s="12" t="s">
        <v>249</v>
      </c>
      <c r="E1675" s="14" t="s">
        <v>66</v>
      </c>
      <c r="F1675" s="12" t="s">
        <v>3</v>
      </c>
      <c r="G1675" s="15">
        <v>20</v>
      </c>
      <c r="H1675" s="12" t="s">
        <v>253</v>
      </c>
      <c r="I1675" s="12" t="s">
        <v>58</v>
      </c>
      <c r="K1675" s="16">
        <v>6.18</v>
      </c>
      <c r="L1675" s="16">
        <v>9.86</v>
      </c>
      <c r="M1675" s="16">
        <v>11.36</v>
      </c>
    </row>
    <row r="1676" spans="2:13" ht="22.5" outlineLevel="3" x14ac:dyDescent="0.2">
      <c r="B1676" s="4" t="str">
        <f>"0001960020"</f>
        <v>0001960020</v>
      </c>
      <c r="C1676" s="5" t="str">
        <f>"127708"</f>
        <v>127708</v>
      </c>
      <c r="D1676" s="12" t="s">
        <v>261</v>
      </c>
      <c r="E1676" s="14" t="s">
        <v>66</v>
      </c>
      <c r="F1676" s="12" t="s">
        <v>262</v>
      </c>
      <c r="G1676" s="15">
        <v>20</v>
      </c>
      <c r="H1676" s="12" t="s">
        <v>253</v>
      </c>
      <c r="I1676" s="12" t="s">
        <v>70</v>
      </c>
      <c r="K1676" s="16">
        <v>6.18</v>
      </c>
      <c r="L1676" s="16">
        <v>9.86</v>
      </c>
      <c r="M1676" s="16">
        <v>11.36</v>
      </c>
    </row>
    <row r="1677" spans="2:13" ht="33.75" outlineLevel="3" x14ac:dyDescent="0.2">
      <c r="B1677" s="4" t="str">
        <f>"0001960020"</f>
        <v>0001960020</v>
      </c>
      <c r="C1677" s="5" t="str">
        <f>"575571"</f>
        <v>575571</v>
      </c>
      <c r="D1677" s="12" t="s">
        <v>254</v>
      </c>
      <c r="E1677" s="14" t="s">
        <v>66</v>
      </c>
      <c r="F1677" s="12" t="s">
        <v>3</v>
      </c>
      <c r="G1677" s="15">
        <v>20</v>
      </c>
      <c r="H1677" s="12" t="s">
        <v>253</v>
      </c>
      <c r="I1677" s="12" t="s">
        <v>5</v>
      </c>
      <c r="K1677" s="16">
        <v>6.18</v>
      </c>
      <c r="L1677" s="16">
        <v>9.86</v>
      </c>
      <c r="M1677" s="16">
        <v>11.36</v>
      </c>
    </row>
    <row r="1678" spans="2:13" outlineLevel="2" x14ac:dyDescent="0.2"/>
    <row r="1679" spans="2:13" ht="33.75" outlineLevel="3" x14ac:dyDescent="0.2">
      <c r="B1679" s="4" t="str">
        <f>"0001960030"</f>
        <v>0001960030</v>
      </c>
      <c r="C1679" s="5" t="str">
        <f>"006998"</f>
        <v>006998</v>
      </c>
      <c r="D1679" s="12" t="s">
        <v>249</v>
      </c>
      <c r="E1679" s="14" t="s">
        <v>66</v>
      </c>
      <c r="F1679" s="12" t="s">
        <v>3</v>
      </c>
      <c r="G1679" s="15">
        <v>30</v>
      </c>
      <c r="H1679" s="12" t="s">
        <v>253</v>
      </c>
      <c r="I1679" s="12" t="s">
        <v>58</v>
      </c>
      <c r="K1679" s="16">
        <v>9.31</v>
      </c>
      <c r="L1679" s="16">
        <v>14.84</v>
      </c>
      <c r="M1679" s="16">
        <v>16.34</v>
      </c>
    </row>
    <row r="1680" spans="2:13" ht="22.5" outlineLevel="3" x14ac:dyDescent="0.2">
      <c r="B1680" s="4" t="str">
        <f>"0001960030"</f>
        <v>0001960030</v>
      </c>
      <c r="C1680" s="5" t="str">
        <f>"127719"</f>
        <v>127719</v>
      </c>
      <c r="D1680" s="12" t="s">
        <v>261</v>
      </c>
      <c r="E1680" s="14" t="s">
        <v>66</v>
      </c>
      <c r="F1680" s="12" t="s">
        <v>262</v>
      </c>
      <c r="G1680" s="15">
        <v>30</v>
      </c>
      <c r="H1680" s="12" t="s">
        <v>253</v>
      </c>
      <c r="I1680" s="12" t="s">
        <v>70</v>
      </c>
      <c r="K1680" s="16">
        <v>9.31</v>
      </c>
      <c r="L1680" s="16">
        <v>14.84</v>
      </c>
      <c r="M1680" s="16">
        <v>16.34</v>
      </c>
    </row>
    <row r="1681" spans="1:13" ht="33.75" outlineLevel="3" x14ac:dyDescent="0.2">
      <c r="B1681" s="4" t="str">
        <f>"0001960030"</f>
        <v>0001960030</v>
      </c>
      <c r="C1681" s="5" t="str">
        <f>"575589"</f>
        <v>575589</v>
      </c>
      <c r="D1681" s="12" t="s">
        <v>254</v>
      </c>
      <c r="E1681" s="14" t="s">
        <v>66</v>
      </c>
      <c r="F1681" s="12" t="s">
        <v>3</v>
      </c>
      <c r="G1681" s="15">
        <v>30</v>
      </c>
      <c r="H1681" s="12" t="s">
        <v>253</v>
      </c>
      <c r="I1681" s="12" t="s">
        <v>5</v>
      </c>
      <c r="K1681" s="16">
        <v>9.31</v>
      </c>
      <c r="L1681" s="16">
        <v>14.84</v>
      </c>
      <c r="M1681" s="16">
        <v>16.34</v>
      </c>
    </row>
    <row r="1682" spans="1:13" outlineLevel="2" x14ac:dyDescent="0.2"/>
    <row r="1683" spans="1:13" ht="33.75" outlineLevel="3" x14ac:dyDescent="0.2">
      <c r="B1683" s="4" t="str">
        <f>"0001980014"</f>
        <v>0001980014</v>
      </c>
      <c r="C1683" s="5" t="str">
        <f>"006203"</f>
        <v>006203</v>
      </c>
      <c r="D1683" s="12" t="s">
        <v>249</v>
      </c>
      <c r="E1683" s="14" t="s">
        <v>263</v>
      </c>
      <c r="F1683" s="12" t="s">
        <v>3</v>
      </c>
      <c r="G1683" s="15">
        <v>14</v>
      </c>
      <c r="H1683" s="12" t="s">
        <v>253</v>
      </c>
      <c r="I1683" s="12" t="s">
        <v>58</v>
      </c>
      <c r="K1683" s="16">
        <v>7.84</v>
      </c>
      <c r="L1683" s="16">
        <v>12.51</v>
      </c>
      <c r="M1683" s="16">
        <v>12.51</v>
      </c>
    </row>
    <row r="1684" spans="1:13" ht="22.5" outlineLevel="3" x14ac:dyDescent="0.2">
      <c r="B1684" s="4" t="str">
        <f>"0001980014"</f>
        <v>0001980014</v>
      </c>
      <c r="C1684" s="5" t="str">
        <f>"127730"</f>
        <v>127730</v>
      </c>
      <c r="D1684" s="12" t="s">
        <v>261</v>
      </c>
      <c r="E1684" s="14" t="s">
        <v>263</v>
      </c>
      <c r="F1684" s="12" t="s">
        <v>262</v>
      </c>
      <c r="G1684" s="15">
        <v>14</v>
      </c>
      <c r="H1684" s="12" t="s">
        <v>253</v>
      </c>
      <c r="I1684" s="12" t="s">
        <v>70</v>
      </c>
      <c r="K1684" s="16">
        <v>7.84</v>
      </c>
      <c r="L1684" s="16">
        <v>12.51</v>
      </c>
      <c r="M1684" s="16">
        <v>12.51</v>
      </c>
    </row>
    <row r="1685" spans="1:13" ht="33.75" outlineLevel="3" x14ac:dyDescent="0.2">
      <c r="B1685" s="4" t="str">
        <f>"0001980014"</f>
        <v>0001980014</v>
      </c>
      <c r="C1685" s="5" t="str">
        <f>"394965"</f>
        <v>394965</v>
      </c>
      <c r="D1685" s="12" t="s">
        <v>254</v>
      </c>
      <c r="E1685" s="14" t="s">
        <v>263</v>
      </c>
      <c r="F1685" s="12" t="s">
        <v>3</v>
      </c>
      <c r="G1685" s="15">
        <v>14</v>
      </c>
      <c r="H1685" s="12" t="s">
        <v>253</v>
      </c>
      <c r="I1685" s="12" t="s">
        <v>5</v>
      </c>
      <c r="K1685" s="16">
        <v>7.22</v>
      </c>
      <c r="L1685" s="16">
        <v>11.52</v>
      </c>
      <c r="M1685" s="16">
        <v>12.51</v>
      </c>
    </row>
    <row r="1686" spans="1:13" ht="33.75" outlineLevel="3" x14ac:dyDescent="0.2">
      <c r="B1686" s="4" t="str">
        <f>"0001980014"</f>
        <v>0001980014</v>
      </c>
      <c r="C1686" s="5" t="str">
        <f>"115296"</f>
        <v>115296</v>
      </c>
      <c r="D1686" s="12" t="s">
        <v>264</v>
      </c>
      <c r="E1686" s="14" t="s">
        <v>263</v>
      </c>
      <c r="F1686" s="12" t="s">
        <v>3</v>
      </c>
      <c r="G1686" s="15">
        <v>14</v>
      </c>
      <c r="H1686" s="12" t="s">
        <v>253</v>
      </c>
      <c r="I1686" s="12" t="s">
        <v>11</v>
      </c>
      <c r="K1686" s="16">
        <v>6.9</v>
      </c>
      <c r="L1686" s="16">
        <v>11.01</v>
      </c>
      <c r="M1686" s="16">
        <v>12.51</v>
      </c>
    </row>
    <row r="1687" spans="1:13" outlineLevel="2" x14ac:dyDescent="0.2"/>
    <row r="1688" spans="1:13" ht="33.75" outlineLevel="3" x14ac:dyDescent="0.2">
      <c r="B1688" s="4" t="str">
        <f>"0001980020"</f>
        <v>0001980020</v>
      </c>
      <c r="C1688" s="5" t="str">
        <f>"007009"</f>
        <v>007009</v>
      </c>
      <c r="D1688" s="12" t="s">
        <v>249</v>
      </c>
      <c r="E1688" s="14" t="s">
        <v>263</v>
      </c>
      <c r="F1688" s="12" t="s">
        <v>3</v>
      </c>
      <c r="G1688" s="15">
        <v>20</v>
      </c>
      <c r="H1688" s="12" t="s">
        <v>253</v>
      </c>
      <c r="I1688" s="12" t="s">
        <v>58</v>
      </c>
      <c r="K1688" s="16">
        <v>8.99</v>
      </c>
      <c r="L1688" s="16">
        <v>14.34</v>
      </c>
      <c r="M1688" s="16">
        <v>14.34</v>
      </c>
    </row>
    <row r="1689" spans="1:13" ht="22.5" outlineLevel="3" x14ac:dyDescent="0.2">
      <c r="B1689" s="4" t="str">
        <f>"0001980020"</f>
        <v>0001980020</v>
      </c>
      <c r="C1689" s="5" t="str">
        <f>"127741"</f>
        <v>127741</v>
      </c>
      <c r="D1689" s="12" t="s">
        <v>261</v>
      </c>
      <c r="E1689" s="14" t="s">
        <v>263</v>
      </c>
      <c r="F1689" s="12" t="s">
        <v>262</v>
      </c>
      <c r="G1689" s="15">
        <v>20</v>
      </c>
      <c r="H1689" s="12" t="s">
        <v>253</v>
      </c>
      <c r="I1689" s="12" t="s">
        <v>70</v>
      </c>
      <c r="K1689" s="16">
        <v>8.99</v>
      </c>
      <c r="L1689" s="16">
        <v>14.34</v>
      </c>
      <c r="M1689" s="16">
        <v>14.34</v>
      </c>
    </row>
    <row r="1690" spans="1:13" ht="33.75" outlineLevel="3" x14ac:dyDescent="0.2">
      <c r="B1690" s="4" t="str">
        <f>"0001980020"</f>
        <v>0001980020</v>
      </c>
      <c r="C1690" s="5" t="str">
        <f>"575621"</f>
        <v>575621</v>
      </c>
      <c r="D1690" s="12" t="s">
        <v>254</v>
      </c>
      <c r="E1690" s="14" t="s">
        <v>263</v>
      </c>
      <c r="F1690" s="12" t="s">
        <v>3</v>
      </c>
      <c r="G1690" s="15">
        <v>20</v>
      </c>
      <c r="H1690" s="12" t="s">
        <v>253</v>
      </c>
      <c r="I1690" s="12" t="s">
        <v>5</v>
      </c>
      <c r="K1690" s="16">
        <v>8.65</v>
      </c>
      <c r="L1690" s="16">
        <v>13.79</v>
      </c>
      <c r="M1690" s="16">
        <v>14.34</v>
      </c>
    </row>
    <row r="1691" spans="1:13" ht="33.75" outlineLevel="3" x14ac:dyDescent="0.2">
      <c r="B1691" s="4" t="str">
        <f>"0001980020"</f>
        <v>0001980020</v>
      </c>
      <c r="C1691" s="5" t="str">
        <f>"115285"</f>
        <v>115285</v>
      </c>
      <c r="D1691" s="12" t="s">
        <v>264</v>
      </c>
      <c r="E1691" s="14" t="s">
        <v>263</v>
      </c>
      <c r="F1691" s="12" t="s">
        <v>3</v>
      </c>
      <c r="G1691" s="15">
        <v>20</v>
      </c>
      <c r="H1691" s="12" t="s">
        <v>253</v>
      </c>
      <c r="I1691" s="12" t="s">
        <v>11</v>
      </c>
      <c r="K1691" s="16">
        <v>8.0500000000000007</v>
      </c>
      <c r="L1691" s="16">
        <v>12.84</v>
      </c>
      <c r="M1691" s="16">
        <v>14.34</v>
      </c>
    </row>
    <row r="1692" spans="1:13" outlineLevel="1" x14ac:dyDescent="0.2">
      <c r="A1692" s="3"/>
    </row>
    <row r="1693" spans="1:13" outlineLevel="2" x14ac:dyDescent="0.2">
      <c r="A1693" s="3" t="s">
        <v>1492</v>
      </c>
    </row>
    <row r="1694" spans="1:13" ht="33.75" outlineLevel="3" x14ac:dyDescent="0.2">
      <c r="B1694" s="4" t="str">
        <f>"0010030009"</f>
        <v>0010030009</v>
      </c>
      <c r="C1694" s="5" t="str">
        <f>"384407"</f>
        <v>384407</v>
      </c>
      <c r="D1694" s="12" t="s">
        <v>1015</v>
      </c>
      <c r="E1694" s="14" t="s">
        <v>142</v>
      </c>
      <c r="F1694" s="12" t="s">
        <v>3</v>
      </c>
      <c r="G1694" s="15">
        <v>9</v>
      </c>
      <c r="H1694" s="12" t="s">
        <v>1016</v>
      </c>
      <c r="I1694" s="12" t="s">
        <v>28</v>
      </c>
      <c r="K1694" s="16">
        <v>4.51</v>
      </c>
      <c r="L1694" s="16">
        <v>7.19</v>
      </c>
      <c r="M1694" s="16">
        <v>8.69</v>
      </c>
    </row>
    <row r="1695" spans="1:13" outlineLevel="2" x14ac:dyDescent="0.2"/>
    <row r="1696" spans="1:13" ht="33.75" outlineLevel="3" x14ac:dyDescent="0.2">
      <c r="B1696" s="4" t="str">
        <f>"0010030014"</f>
        <v>0010030014</v>
      </c>
      <c r="C1696" s="5" t="str">
        <f>"008468"</f>
        <v>008468</v>
      </c>
      <c r="D1696" s="12" t="s">
        <v>1017</v>
      </c>
      <c r="E1696" s="14" t="s">
        <v>142</v>
      </c>
      <c r="F1696" s="12" t="s">
        <v>3</v>
      </c>
      <c r="G1696" s="15">
        <v>14</v>
      </c>
      <c r="H1696" s="12" t="s">
        <v>1016</v>
      </c>
      <c r="I1696" s="12" t="s">
        <v>1018</v>
      </c>
      <c r="K1696" s="16">
        <v>7.01</v>
      </c>
      <c r="L1696" s="16">
        <v>11.18</v>
      </c>
      <c r="M1696" s="16">
        <v>12.68</v>
      </c>
    </row>
    <row r="1697" spans="1:13" ht="33.75" outlineLevel="3" x14ac:dyDescent="0.2">
      <c r="B1697" s="4" t="str">
        <f>"0010030014"</f>
        <v>0010030014</v>
      </c>
      <c r="C1697" s="5" t="str">
        <f>"148251"</f>
        <v>148251</v>
      </c>
      <c r="D1697" s="12" t="s">
        <v>1015</v>
      </c>
      <c r="E1697" s="14" t="s">
        <v>142</v>
      </c>
      <c r="F1697" s="12" t="s">
        <v>3</v>
      </c>
      <c r="G1697" s="15">
        <v>14</v>
      </c>
      <c r="H1697" s="12" t="s">
        <v>1016</v>
      </c>
      <c r="I1697" s="12" t="s">
        <v>28</v>
      </c>
      <c r="K1697" s="16">
        <v>7.01</v>
      </c>
      <c r="L1697" s="16">
        <v>11.18</v>
      </c>
      <c r="M1697" s="16">
        <v>12.68</v>
      </c>
    </row>
    <row r="1698" spans="1:13" outlineLevel="2" x14ac:dyDescent="0.2"/>
    <row r="1699" spans="1:13" ht="33.75" outlineLevel="3" x14ac:dyDescent="0.2">
      <c r="B1699" s="4" t="str">
        <f>"0010030020"</f>
        <v>0010030020</v>
      </c>
      <c r="C1699" s="5" t="str">
        <f>"148263"</f>
        <v>148263</v>
      </c>
      <c r="D1699" s="12" t="s">
        <v>1015</v>
      </c>
      <c r="E1699" s="14" t="s">
        <v>142</v>
      </c>
      <c r="F1699" s="12" t="s">
        <v>3</v>
      </c>
      <c r="G1699" s="15">
        <v>20</v>
      </c>
      <c r="H1699" s="12" t="s">
        <v>1016</v>
      </c>
      <c r="I1699" s="12" t="s">
        <v>28</v>
      </c>
      <c r="K1699" s="16">
        <v>8.19</v>
      </c>
      <c r="L1699" s="16">
        <v>13.07</v>
      </c>
      <c r="M1699" s="16">
        <v>14.57</v>
      </c>
    </row>
    <row r="1700" spans="1:13" ht="33.75" outlineLevel="3" x14ac:dyDescent="0.2">
      <c r="B1700" s="4" t="str">
        <f>"0010030020"</f>
        <v>0010030020</v>
      </c>
      <c r="C1700" s="5" t="str">
        <f>"458349"</f>
        <v>458349</v>
      </c>
      <c r="D1700" s="12" t="s">
        <v>1017</v>
      </c>
      <c r="E1700" s="14" t="s">
        <v>142</v>
      </c>
      <c r="F1700" s="12" t="s">
        <v>3</v>
      </c>
      <c r="G1700" s="15">
        <v>20</v>
      </c>
      <c r="H1700" s="12" t="s">
        <v>1016</v>
      </c>
      <c r="I1700" s="12" t="s">
        <v>1018</v>
      </c>
      <c r="K1700" s="16">
        <v>8.19</v>
      </c>
      <c r="L1700" s="16">
        <v>13.07</v>
      </c>
      <c r="M1700" s="16">
        <v>14.57</v>
      </c>
    </row>
    <row r="1701" spans="1:13" outlineLevel="2" x14ac:dyDescent="0.2"/>
    <row r="1702" spans="1:13" ht="33.75" outlineLevel="3" x14ac:dyDescent="0.2">
      <c r="B1702" s="4" t="str">
        <f>"0010030030"</f>
        <v>0010030030</v>
      </c>
      <c r="C1702" s="5" t="str">
        <f>"148274"</f>
        <v>148274</v>
      </c>
      <c r="D1702" s="12" t="s">
        <v>1015</v>
      </c>
      <c r="E1702" s="14" t="s">
        <v>142</v>
      </c>
      <c r="F1702" s="12" t="s">
        <v>3</v>
      </c>
      <c r="G1702" s="15">
        <v>30</v>
      </c>
      <c r="H1702" s="12" t="s">
        <v>1016</v>
      </c>
      <c r="I1702" s="12" t="s">
        <v>28</v>
      </c>
      <c r="K1702" s="16">
        <v>10.58</v>
      </c>
      <c r="L1702" s="16">
        <v>16.72</v>
      </c>
      <c r="M1702" s="16">
        <v>18.22</v>
      </c>
    </row>
    <row r="1703" spans="1:13" ht="33.75" outlineLevel="3" x14ac:dyDescent="0.2">
      <c r="B1703" s="4" t="str">
        <f>"0010030030"</f>
        <v>0010030030</v>
      </c>
      <c r="C1703" s="5" t="str">
        <f>"458356"</f>
        <v>458356</v>
      </c>
      <c r="D1703" s="12" t="s">
        <v>1017</v>
      </c>
      <c r="E1703" s="14" t="s">
        <v>142</v>
      </c>
      <c r="F1703" s="12" t="s">
        <v>3</v>
      </c>
      <c r="G1703" s="15">
        <v>30</v>
      </c>
      <c r="H1703" s="12" t="s">
        <v>1016</v>
      </c>
      <c r="I1703" s="12" t="s">
        <v>1018</v>
      </c>
      <c r="K1703" s="16">
        <v>10.58</v>
      </c>
      <c r="L1703" s="16">
        <v>16.72</v>
      </c>
      <c r="M1703" s="16">
        <v>18.22</v>
      </c>
    </row>
    <row r="1704" spans="1:13" outlineLevel="2" x14ac:dyDescent="0.2"/>
    <row r="1705" spans="1:13" ht="33.75" outlineLevel="3" x14ac:dyDescent="0.2">
      <c r="B1705" s="4" t="str">
        <f>"0010030100"</f>
        <v>0010030100</v>
      </c>
      <c r="C1705" s="5" t="str">
        <f>"148285"</f>
        <v>148285</v>
      </c>
      <c r="D1705" s="12" t="s">
        <v>1015</v>
      </c>
      <c r="E1705" s="14" t="s">
        <v>142</v>
      </c>
      <c r="F1705" s="12" t="s">
        <v>3</v>
      </c>
      <c r="G1705" s="15">
        <v>100</v>
      </c>
      <c r="H1705" s="12" t="s">
        <v>1016</v>
      </c>
      <c r="I1705" s="12" t="s">
        <v>28</v>
      </c>
      <c r="K1705" s="16">
        <v>31.77</v>
      </c>
      <c r="L1705" s="16">
        <v>48.19</v>
      </c>
      <c r="M1705" s="16">
        <v>50.19</v>
      </c>
    </row>
    <row r="1706" spans="1:13" ht="33.75" outlineLevel="3" x14ac:dyDescent="0.2">
      <c r="B1706" s="4" t="str">
        <f>"0016250010"</f>
        <v>0016250010</v>
      </c>
      <c r="C1706" s="5" t="str">
        <f>"054309"</f>
        <v>054309</v>
      </c>
      <c r="D1706" s="12" t="s">
        <v>1017</v>
      </c>
      <c r="E1706" s="14" t="s">
        <v>337</v>
      </c>
      <c r="F1706" s="12" t="s">
        <v>3</v>
      </c>
      <c r="G1706" s="15">
        <v>10</v>
      </c>
      <c r="H1706" s="12" t="s">
        <v>1016</v>
      </c>
      <c r="I1706" s="12" t="s">
        <v>1018</v>
      </c>
      <c r="K1706" s="16">
        <v>7.19</v>
      </c>
      <c r="L1706" s="16">
        <v>11.47</v>
      </c>
      <c r="M1706" s="16">
        <v>12.97</v>
      </c>
    </row>
    <row r="1707" spans="1:13" ht="33.75" outlineLevel="3" x14ac:dyDescent="0.2">
      <c r="B1707" s="4" t="str">
        <f>"0016250010"</f>
        <v>0016250010</v>
      </c>
      <c r="C1707" s="5" t="str">
        <f>"520187"</f>
        <v>520187</v>
      </c>
      <c r="D1707" s="12" t="s">
        <v>1015</v>
      </c>
      <c r="E1707" s="14" t="s">
        <v>337</v>
      </c>
      <c r="F1707" s="12" t="s">
        <v>3</v>
      </c>
      <c r="G1707" s="15">
        <v>10</v>
      </c>
      <c r="H1707" s="12" t="s">
        <v>1016</v>
      </c>
      <c r="I1707" s="12" t="s">
        <v>28</v>
      </c>
      <c r="K1707" s="16">
        <v>7.19</v>
      </c>
      <c r="L1707" s="16">
        <v>11.47</v>
      </c>
      <c r="M1707" s="16">
        <v>12.97</v>
      </c>
    </row>
    <row r="1708" spans="1:13" outlineLevel="2" x14ac:dyDescent="0.2"/>
    <row r="1709" spans="1:13" ht="33.75" outlineLevel="3" x14ac:dyDescent="0.2">
      <c r="B1709" s="4" t="str">
        <f>"0016250015"</f>
        <v>0016250015</v>
      </c>
      <c r="C1709" s="5" t="str">
        <f>"054321"</f>
        <v>054321</v>
      </c>
      <c r="D1709" s="12" t="s">
        <v>1017</v>
      </c>
      <c r="E1709" s="14" t="s">
        <v>337</v>
      </c>
      <c r="F1709" s="12" t="s">
        <v>3</v>
      </c>
      <c r="G1709" s="15">
        <v>15</v>
      </c>
      <c r="H1709" s="12" t="s">
        <v>1016</v>
      </c>
      <c r="I1709" s="12" t="s">
        <v>1018</v>
      </c>
      <c r="K1709" s="16">
        <v>10.58</v>
      </c>
      <c r="L1709" s="16">
        <v>16.72</v>
      </c>
      <c r="M1709" s="16">
        <v>18.22</v>
      </c>
    </row>
    <row r="1710" spans="1:13" ht="33.75" outlineLevel="3" x14ac:dyDescent="0.2">
      <c r="B1710" s="4" t="str">
        <f>"0016250015"</f>
        <v>0016250015</v>
      </c>
      <c r="C1710" s="5" t="str">
        <f>"192452"</f>
        <v>192452</v>
      </c>
      <c r="D1710" s="12" t="s">
        <v>1015</v>
      </c>
      <c r="E1710" s="14" t="s">
        <v>337</v>
      </c>
      <c r="F1710" s="12" t="s">
        <v>3</v>
      </c>
      <c r="G1710" s="15">
        <v>15</v>
      </c>
      <c r="H1710" s="12" t="s">
        <v>1016</v>
      </c>
      <c r="I1710" s="12" t="s">
        <v>28</v>
      </c>
      <c r="K1710" s="16">
        <v>10.58</v>
      </c>
      <c r="L1710" s="16">
        <v>16.72</v>
      </c>
      <c r="M1710" s="16">
        <v>18.22</v>
      </c>
    </row>
    <row r="1711" spans="1:13" outlineLevel="2" x14ac:dyDescent="0.2">
      <c r="A1711" s="3" t="s">
        <v>1493</v>
      </c>
    </row>
    <row r="1712" spans="1:13" ht="33.75" outlineLevel="3" x14ac:dyDescent="0.2">
      <c r="B1712" s="4" t="str">
        <f>"0001990020"</f>
        <v>0001990020</v>
      </c>
      <c r="C1712" s="5" t="str">
        <f>"007181"</f>
        <v>007181</v>
      </c>
      <c r="D1712" s="12" t="s">
        <v>265</v>
      </c>
      <c r="E1712" s="14" t="s">
        <v>266</v>
      </c>
      <c r="F1712" s="12" t="s">
        <v>3</v>
      </c>
      <c r="G1712" s="15">
        <v>20</v>
      </c>
      <c r="H1712" s="12" t="s">
        <v>267</v>
      </c>
      <c r="I1712" s="12" t="s">
        <v>58</v>
      </c>
      <c r="K1712" s="16">
        <v>2.29</v>
      </c>
      <c r="L1712" s="16">
        <v>3.65</v>
      </c>
      <c r="M1712" s="16">
        <v>5.15</v>
      </c>
    </row>
    <row r="1713" spans="1:13" ht="33.75" outlineLevel="3" x14ac:dyDescent="0.2">
      <c r="B1713" s="4" t="str">
        <f>"0001990020"</f>
        <v>0001990020</v>
      </c>
      <c r="C1713" s="5" t="str">
        <f>"577818"</f>
        <v>577818</v>
      </c>
      <c r="D1713" s="12" t="s">
        <v>268</v>
      </c>
      <c r="E1713" s="14" t="s">
        <v>266</v>
      </c>
      <c r="F1713" s="12" t="s">
        <v>3</v>
      </c>
      <c r="G1713" s="15">
        <v>20</v>
      </c>
      <c r="H1713" s="12" t="s">
        <v>267</v>
      </c>
      <c r="I1713" s="12" t="s">
        <v>5</v>
      </c>
      <c r="K1713" s="16">
        <v>2.29</v>
      </c>
      <c r="L1713" s="16">
        <v>3.65</v>
      </c>
      <c r="M1713" s="16">
        <v>5.15</v>
      </c>
    </row>
    <row r="1714" spans="1:13" outlineLevel="2" x14ac:dyDescent="0.2"/>
    <row r="1715" spans="1:13" ht="33.75" outlineLevel="3" x14ac:dyDescent="0.2">
      <c r="B1715" s="4" t="str">
        <f>"0001990030"</f>
        <v>0001990030</v>
      </c>
      <c r="C1715" s="5" t="str">
        <f>"007190"</f>
        <v>007190</v>
      </c>
      <c r="D1715" s="12" t="s">
        <v>265</v>
      </c>
      <c r="E1715" s="14" t="s">
        <v>266</v>
      </c>
      <c r="F1715" s="12" t="s">
        <v>3</v>
      </c>
      <c r="G1715" s="15">
        <v>30</v>
      </c>
      <c r="H1715" s="12" t="s">
        <v>267</v>
      </c>
      <c r="I1715" s="12" t="s">
        <v>58</v>
      </c>
      <c r="K1715" s="16">
        <v>3.34</v>
      </c>
      <c r="L1715" s="16">
        <v>5.32</v>
      </c>
      <c r="M1715" s="16">
        <v>6.82</v>
      </c>
    </row>
    <row r="1716" spans="1:13" ht="33.75" outlineLevel="3" x14ac:dyDescent="0.2">
      <c r="B1716" s="4" t="str">
        <f>"0001990030"</f>
        <v>0001990030</v>
      </c>
      <c r="C1716" s="5" t="str">
        <f>"384478"</f>
        <v>384478</v>
      </c>
      <c r="D1716" s="12" t="s">
        <v>268</v>
      </c>
      <c r="E1716" s="14" t="s">
        <v>266</v>
      </c>
      <c r="F1716" s="12" t="s">
        <v>3</v>
      </c>
      <c r="G1716" s="15">
        <v>30</v>
      </c>
      <c r="H1716" s="12" t="s">
        <v>267</v>
      </c>
      <c r="I1716" s="12" t="s">
        <v>5</v>
      </c>
      <c r="K1716" s="16">
        <v>3.34</v>
      </c>
      <c r="L1716" s="16">
        <v>5.32</v>
      </c>
      <c r="M1716" s="16">
        <v>6.82</v>
      </c>
    </row>
    <row r="1717" spans="1:13" outlineLevel="2" x14ac:dyDescent="0.2"/>
    <row r="1718" spans="1:13" ht="33.75" outlineLevel="3" x14ac:dyDescent="0.2">
      <c r="B1718" s="4" t="str">
        <f>"0002000014"</f>
        <v>0002000014</v>
      </c>
      <c r="C1718" s="5" t="str">
        <f>"006185"</f>
        <v>006185</v>
      </c>
      <c r="D1718" s="12" t="s">
        <v>269</v>
      </c>
      <c r="E1718" s="14" t="s">
        <v>270</v>
      </c>
      <c r="F1718" s="12" t="s">
        <v>3</v>
      </c>
      <c r="G1718" s="15">
        <v>14</v>
      </c>
      <c r="H1718" s="12" t="s">
        <v>267</v>
      </c>
      <c r="I1718" s="12" t="s">
        <v>58</v>
      </c>
      <c r="K1718" s="16">
        <v>2.75</v>
      </c>
      <c r="L1718" s="16">
        <v>4.3899999999999997</v>
      </c>
      <c r="M1718" s="16">
        <v>5.89</v>
      </c>
    </row>
    <row r="1719" spans="1:13" ht="33.75" outlineLevel="3" x14ac:dyDescent="0.2">
      <c r="B1719" s="4" t="str">
        <f>"0002000014"</f>
        <v>0002000014</v>
      </c>
      <c r="C1719" s="5" t="str">
        <f>"092423"</f>
        <v>092423</v>
      </c>
      <c r="D1719" s="12" t="s">
        <v>271</v>
      </c>
      <c r="E1719" s="14" t="s">
        <v>270</v>
      </c>
      <c r="F1719" s="12" t="s">
        <v>3</v>
      </c>
      <c r="G1719" s="15">
        <v>14</v>
      </c>
      <c r="H1719" s="12" t="s">
        <v>267</v>
      </c>
      <c r="I1719" s="12" t="s">
        <v>5</v>
      </c>
      <c r="K1719" s="16">
        <v>2.75</v>
      </c>
      <c r="L1719" s="16">
        <v>4.3899999999999997</v>
      </c>
      <c r="M1719" s="16">
        <v>5.89</v>
      </c>
    </row>
    <row r="1720" spans="1:13" outlineLevel="2" x14ac:dyDescent="0.2"/>
    <row r="1721" spans="1:13" ht="33.75" outlineLevel="3" x14ac:dyDescent="0.2">
      <c r="B1721" s="4" t="str">
        <f>"0002000020"</f>
        <v>0002000020</v>
      </c>
      <c r="C1721" s="5" t="str">
        <f>"006826"</f>
        <v>006826</v>
      </c>
      <c r="D1721" s="12" t="s">
        <v>269</v>
      </c>
      <c r="E1721" s="14" t="s">
        <v>270</v>
      </c>
      <c r="F1721" s="12" t="s">
        <v>3</v>
      </c>
      <c r="G1721" s="15">
        <v>20</v>
      </c>
      <c r="H1721" s="12" t="s">
        <v>267</v>
      </c>
      <c r="I1721" s="12" t="s">
        <v>58</v>
      </c>
      <c r="K1721" s="16">
        <v>2.99</v>
      </c>
      <c r="L1721" s="16">
        <v>4.7699999999999996</v>
      </c>
      <c r="M1721" s="16">
        <v>6.27</v>
      </c>
    </row>
    <row r="1722" spans="1:13" ht="33.75" outlineLevel="3" x14ac:dyDescent="0.2">
      <c r="B1722" s="4" t="str">
        <f>"0002000020"</f>
        <v>0002000020</v>
      </c>
      <c r="C1722" s="5" t="str">
        <f>"433798"</f>
        <v>433798</v>
      </c>
      <c r="D1722" s="12" t="s">
        <v>271</v>
      </c>
      <c r="E1722" s="14" t="s">
        <v>270</v>
      </c>
      <c r="F1722" s="12" t="s">
        <v>3</v>
      </c>
      <c r="G1722" s="15">
        <v>20</v>
      </c>
      <c r="H1722" s="12" t="s">
        <v>267</v>
      </c>
      <c r="I1722" s="12" t="s">
        <v>5</v>
      </c>
      <c r="K1722" s="16">
        <v>2.99</v>
      </c>
      <c r="L1722" s="16">
        <v>4.7699999999999996</v>
      </c>
      <c r="M1722" s="16">
        <v>6.27</v>
      </c>
    </row>
    <row r="1723" spans="1:13" outlineLevel="1" x14ac:dyDescent="0.2">
      <c r="A1723" s="3"/>
    </row>
    <row r="1724" spans="1:13" outlineLevel="2" x14ac:dyDescent="0.2">
      <c r="A1724" s="3" t="s">
        <v>1494</v>
      </c>
    </row>
    <row r="1725" spans="1:13" ht="33.75" outlineLevel="3" x14ac:dyDescent="0.2">
      <c r="B1725" s="4" t="str">
        <f>"0002040020"</f>
        <v>0002040020</v>
      </c>
      <c r="C1725" s="5" t="str">
        <f>"000115"</f>
        <v>000115</v>
      </c>
      <c r="D1725" s="12" t="s">
        <v>272</v>
      </c>
      <c r="E1725" s="14" t="s">
        <v>273</v>
      </c>
      <c r="F1725" s="12" t="s">
        <v>3</v>
      </c>
      <c r="G1725" s="15">
        <v>20</v>
      </c>
      <c r="H1725" s="12" t="s">
        <v>274</v>
      </c>
      <c r="I1725" s="12" t="s">
        <v>6</v>
      </c>
      <c r="K1725" s="16">
        <v>9.56</v>
      </c>
      <c r="L1725" s="16">
        <v>15.21</v>
      </c>
      <c r="M1725" s="16">
        <v>16.71</v>
      </c>
    </row>
    <row r="1726" spans="1:13" ht="33.75" outlineLevel="3" x14ac:dyDescent="0.2">
      <c r="B1726" s="4" t="str">
        <f>"0002040020"</f>
        <v>0002040020</v>
      </c>
      <c r="C1726" s="5" t="str">
        <f>"522535"</f>
        <v>522535</v>
      </c>
      <c r="D1726" s="12" t="s">
        <v>275</v>
      </c>
      <c r="E1726" s="14" t="s">
        <v>273</v>
      </c>
      <c r="F1726" s="12" t="s">
        <v>3</v>
      </c>
      <c r="G1726" s="15">
        <v>20</v>
      </c>
      <c r="H1726" s="12" t="s">
        <v>274</v>
      </c>
      <c r="I1726" s="12" t="s">
        <v>28</v>
      </c>
      <c r="K1726" s="16">
        <v>9.56</v>
      </c>
      <c r="L1726" s="16">
        <v>15.21</v>
      </c>
      <c r="M1726" s="16">
        <v>16.71</v>
      </c>
    </row>
    <row r="1727" spans="1:13" outlineLevel="2" x14ac:dyDescent="0.2"/>
    <row r="1728" spans="1:13" ht="33.75" outlineLevel="3" x14ac:dyDescent="0.2">
      <c r="B1728" s="4" t="str">
        <f>"0002040030"</f>
        <v>0002040030</v>
      </c>
      <c r="C1728" s="5" t="str">
        <f>"000126"</f>
        <v>000126</v>
      </c>
      <c r="D1728" s="12" t="s">
        <v>272</v>
      </c>
      <c r="E1728" s="14" t="s">
        <v>273</v>
      </c>
      <c r="F1728" s="12" t="s">
        <v>3</v>
      </c>
      <c r="G1728" s="15">
        <v>30</v>
      </c>
      <c r="H1728" s="12" t="s">
        <v>274</v>
      </c>
      <c r="I1728" s="12" t="s">
        <v>6</v>
      </c>
      <c r="K1728" s="16">
        <v>10.79</v>
      </c>
      <c r="L1728" s="16">
        <v>17.04</v>
      </c>
      <c r="M1728" s="16">
        <v>18.54</v>
      </c>
    </row>
    <row r="1729" spans="2:13" ht="33.75" outlineLevel="3" x14ac:dyDescent="0.2">
      <c r="B1729" s="4" t="str">
        <f>"0002040030"</f>
        <v>0002040030</v>
      </c>
      <c r="C1729" s="5" t="str">
        <f>"434905"</f>
        <v>434905</v>
      </c>
      <c r="D1729" s="12" t="s">
        <v>275</v>
      </c>
      <c r="E1729" s="14" t="s">
        <v>273</v>
      </c>
      <c r="F1729" s="12" t="s">
        <v>3</v>
      </c>
      <c r="G1729" s="15">
        <v>30</v>
      </c>
      <c r="H1729" s="12" t="s">
        <v>274</v>
      </c>
      <c r="I1729" s="12" t="s">
        <v>28</v>
      </c>
      <c r="K1729" s="16">
        <v>10.79</v>
      </c>
      <c r="L1729" s="16">
        <v>17.04</v>
      </c>
      <c r="M1729" s="16">
        <v>18.54</v>
      </c>
    </row>
    <row r="1730" spans="2:13" ht="33.75" outlineLevel="3" x14ac:dyDescent="0.2">
      <c r="B1730" s="4" t="str">
        <f>"0002040030"</f>
        <v>0002040030</v>
      </c>
      <c r="C1730" s="5" t="str">
        <f>"474783"</f>
        <v>474783</v>
      </c>
      <c r="D1730" s="12" t="s">
        <v>276</v>
      </c>
      <c r="E1730" s="14" t="s">
        <v>273</v>
      </c>
      <c r="F1730" s="12" t="s">
        <v>3</v>
      </c>
      <c r="G1730" s="15">
        <v>30</v>
      </c>
      <c r="H1730" s="12" t="s">
        <v>274</v>
      </c>
      <c r="I1730" s="12" t="s">
        <v>124</v>
      </c>
      <c r="K1730" s="16">
        <v>10.79</v>
      </c>
      <c r="L1730" s="16">
        <v>17.04</v>
      </c>
      <c r="M1730" s="16">
        <v>18.54</v>
      </c>
    </row>
    <row r="1731" spans="2:13" outlineLevel="2" x14ac:dyDescent="0.2"/>
    <row r="1732" spans="2:13" ht="33.75" outlineLevel="3" x14ac:dyDescent="0.2">
      <c r="B1732" s="4" t="str">
        <f>"0002050035"</f>
        <v>0002050035</v>
      </c>
      <c r="C1732" s="5" t="str">
        <f>"065742"</f>
        <v>065742</v>
      </c>
      <c r="D1732" s="12" t="s">
        <v>272</v>
      </c>
      <c r="E1732" s="14" t="s">
        <v>277</v>
      </c>
      <c r="F1732" s="12" t="s">
        <v>251</v>
      </c>
      <c r="G1732" s="15" t="s">
        <v>278</v>
      </c>
      <c r="H1732" s="12" t="s">
        <v>274</v>
      </c>
      <c r="I1732" s="12" t="s">
        <v>5</v>
      </c>
      <c r="K1732" s="16">
        <v>7.59</v>
      </c>
      <c r="L1732" s="16">
        <v>12.11</v>
      </c>
      <c r="M1732" s="16">
        <v>13.61</v>
      </c>
    </row>
    <row r="1733" spans="2:13" ht="33.75" outlineLevel="3" x14ac:dyDescent="0.2">
      <c r="B1733" s="4" t="str">
        <f>"0002050035"</f>
        <v>0002050035</v>
      </c>
      <c r="C1733" s="5" t="str">
        <f>"160684"</f>
        <v>160684</v>
      </c>
      <c r="D1733" s="12" t="s">
        <v>275</v>
      </c>
      <c r="E1733" s="14" t="s">
        <v>277</v>
      </c>
      <c r="F1733" s="12" t="s">
        <v>251</v>
      </c>
      <c r="G1733" s="15" t="s">
        <v>278</v>
      </c>
      <c r="H1733" s="12" t="s">
        <v>274</v>
      </c>
      <c r="I1733" s="12" t="s">
        <v>58</v>
      </c>
      <c r="K1733" s="16">
        <v>7.59</v>
      </c>
      <c r="L1733" s="16">
        <v>12.11</v>
      </c>
      <c r="M1733" s="16">
        <v>13.61</v>
      </c>
    </row>
    <row r="1734" spans="2:13" ht="33.75" outlineLevel="3" x14ac:dyDescent="0.2">
      <c r="B1734" s="4" t="str">
        <f>"0002050035"</f>
        <v>0002050035</v>
      </c>
      <c r="C1734" s="5" t="str">
        <f>"523530"</f>
        <v>523530</v>
      </c>
      <c r="D1734" s="12" t="s">
        <v>279</v>
      </c>
      <c r="E1734" s="14" t="s">
        <v>277</v>
      </c>
      <c r="F1734" s="12" t="s">
        <v>251</v>
      </c>
      <c r="G1734" s="15" t="s">
        <v>278</v>
      </c>
      <c r="H1734" s="12" t="s">
        <v>274</v>
      </c>
      <c r="I1734" s="12" t="s">
        <v>280</v>
      </c>
      <c r="K1734" s="16">
        <v>7.59</v>
      </c>
      <c r="L1734" s="16">
        <v>12.11</v>
      </c>
      <c r="M1734" s="16">
        <v>13.61</v>
      </c>
    </row>
    <row r="1735" spans="2:13" outlineLevel="2" x14ac:dyDescent="0.2"/>
    <row r="1736" spans="2:13" ht="33.75" outlineLevel="3" x14ac:dyDescent="0.2">
      <c r="B1736" s="4" t="str">
        <f>"0002050070"</f>
        <v>0002050070</v>
      </c>
      <c r="C1736" s="5" t="str">
        <f>"065751"</f>
        <v>065751</v>
      </c>
      <c r="D1736" s="12" t="s">
        <v>272</v>
      </c>
      <c r="E1736" s="14" t="s">
        <v>277</v>
      </c>
      <c r="F1736" s="12" t="s">
        <v>251</v>
      </c>
      <c r="G1736" s="15" t="s">
        <v>281</v>
      </c>
      <c r="H1736" s="12" t="s">
        <v>274</v>
      </c>
      <c r="I1736" s="12" t="s">
        <v>5</v>
      </c>
      <c r="K1736" s="16">
        <v>11.41</v>
      </c>
      <c r="L1736" s="16">
        <v>17.95</v>
      </c>
      <c r="M1736" s="16">
        <v>19.45</v>
      </c>
    </row>
    <row r="1737" spans="2:13" ht="33.75" outlineLevel="3" x14ac:dyDescent="0.2">
      <c r="B1737" s="4" t="str">
        <f>"0002050070"</f>
        <v>0002050070</v>
      </c>
      <c r="C1737" s="5" t="str">
        <f>"160695"</f>
        <v>160695</v>
      </c>
      <c r="D1737" s="12" t="s">
        <v>275</v>
      </c>
      <c r="E1737" s="14" t="s">
        <v>277</v>
      </c>
      <c r="F1737" s="12" t="s">
        <v>251</v>
      </c>
      <c r="G1737" s="15" t="s">
        <v>281</v>
      </c>
      <c r="H1737" s="12" t="s">
        <v>274</v>
      </c>
      <c r="I1737" s="12" t="s">
        <v>58</v>
      </c>
      <c r="K1737" s="16">
        <v>11.41</v>
      </c>
      <c r="L1737" s="16">
        <v>17.95</v>
      </c>
      <c r="M1737" s="16">
        <v>19.45</v>
      </c>
    </row>
    <row r="1738" spans="2:13" ht="33.75" outlineLevel="3" x14ac:dyDescent="0.2">
      <c r="B1738" s="4" t="str">
        <f>"0002050070"</f>
        <v>0002050070</v>
      </c>
      <c r="C1738" s="5" t="str">
        <f>"440099"</f>
        <v>440099</v>
      </c>
      <c r="D1738" s="12" t="s">
        <v>279</v>
      </c>
      <c r="E1738" s="14" t="s">
        <v>277</v>
      </c>
      <c r="F1738" s="12" t="s">
        <v>251</v>
      </c>
      <c r="G1738" s="15" t="s">
        <v>281</v>
      </c>
      <c r="H1738" s="12" t="s">
        <v>274</v>
      </c>
      <c r="I1738" s="12" t="s">
        <v>280</v>
      </c>
      <c r="K1738" s="16">
        <v>11.41</v>
      </c>
      <c r="L1738" s="16">
        <v>17.95</v>
      </c>
      <c r="M1738" s="16">
        <v>19.45</v>
      </c>
    </row>
    <row r="1739" spans="2:13" ht="33.75" outlineLevel="3" x14ac:dyDescent="0.2">
      <c r="B1739" s="4" t="str">
        <f>"0002060010"</f>
        <v>0002060010</v>
      </c>
      <c r="C1739" s="5" t="str">
        <f>"005949"</f>
        <v>005949</v>
      </c>
      <c r="D1739" s="12" t="s">
        <v>272</v>
      </c>
      <c r="E1739" s="14" t="s">
        <v>282</v>
      </c>
      <c r="F1739" s="12" t="s">
        <v>3</v>
      </c>
      <c r="G1739" s="15">
        <v>10</v>
      </c>
      <c r="H1739" s="12" t="s">
        <v>274</v>
      </c>
      <c r="I1739" s="12" t="s">
        <v>6</v>
      </c>
      <c r="K1739" s="16">
        <v>12.41</v>
      </c>
      <c r="L1739" s="16">
        <v>19.440000000000001</v>
      </c>
      <c r="M1739" s="16">
        <v>20.94</v>
      </c>
    </row>
    <row r="1740" spans="2:13" ht="33.75" outlineLevel="3" x14ac:dyDescent="0.2">
      <c r="B1740" s="4" t="str">
        <f>"0002060010"</f>
        <v>0002060010</v>
      </c>
      <c r="C1740" s="5" t="str">
        <f>"090058"</f>
        <v>090058</v>
      </c>
      <c r="D1740" s="12" t="s">
        <v>275</v>
      </c>
      <c r="E1740" s="14" t="s">
        <v>282</v>
      </c>
      <c r="F1740" s="12" t="s">
        <v>3</v>
      </c>
      <c r="G1740" s="15">
        <v>10</v>
      </c>
      <c r="H1740" s="12" t="s">
        <v>274</v>
      </c>
      <c r="I1740" s="12" t="s">
        <v>58</v>
      </c>
      <c r="K1740" s="16">
        <v>12.41</v>
      </c>
      <c r="L1740" s="16">
        <v>19.440000000000001</v>
      </c>
      <c r="M1740" s="16">
        <v>20.94</v>
      </c>
    </row>
    <row r="1741" spans="2:13" outlineLevel="2" x14ac:dyDescent="0.2"/>
    <row r="1742" spans="2:13" ht="33.75" outlineLevel="3" x14ac:dyDescent="0.2">
      <c r="B1742" s="4" t="str">
        <f>"0002060012"</f>
        <v>0002060012</v>
      </c>
      <c r="C1742" s="5" t="str">
        <f>"160774"</f>
        <v>160774</v>
      </c>
      <c r="D1742" s="12" t="s">
        <v>275</v>
      </c>
      <c r="E1742" s="14" t="s">
        <v>282</v>
      </c>
      <c r="F1742" s="12" t="s">
        <v>3</v>
      </c>
      <c r="G1742" s="15">
        <v>12</v>
      </c>
      <c r="H1742" s="12" t="s">
        <v>274</v>
      </c>
      <c r="I1742" s="12" t="s">
        <v>58</v>
      </c>
      <c r="K1742" s="16">
        <v>14.84</v>
      </c>
      <c r="L1742" s="16">
        <v>23.05</v>
      </c>
      <c r="M1742" s="16">
        <v>24.55</v>
      </c>
    </row>
    <row r="1743" spans="2:13" ht="33.75" outlineLevel="3" x14ac:dyDescent="0.2">
      <c r="B1743" s="4" t="str">
        <f>"0002060012"</f>
        <v>0002060012</v>
      </c>
      <c r="C1743" s="5" t="str">
        <f>"450155"</f>
        <v>450155</v>
      </c>
      <c r="D1743" s="12" t="s">
        <v>279</v>
      </c>
      <c r="E1743" s="14" t="s">
        <v>282</v>
      </c>
      <c r="F1743" s="12" t="s">
        <v>3</v>
      </c>
      <c r="G1743" s="15">
        <v>12</v>
      </c>
      <c r="H1743" s="12" t="s">
        <v>274</v>
      </c>
      <c r="I1743" s="12" t="s">
        <v>280</v>
      </c>
      <c r="J1743" s="2" t="s">
        <v>1400</v>
      </c>
      <c r="K1743" s="16">
        <v>13.83</v>
      </c>
      <c r="L1743" s="16">
        <v>21.55</v>
      </c>
      <c r="M1743" s="16">
        <v>24.55</v>
      </c>
    </row>
    <row r="1744" spans="2:13" outlineLevel="2" x14ac:dyDescent="0.2"/>
    <row r="1745" spans="1:13" ht="33.75" outlineLevel="3" x14ac:dyDescent="0.2">
      <c r="B1745" s="4" t="str">
        <f>"0002060014"</f>
        <v>0002060014</v>
      </c>
      <c r="C1745" s="5" t="str">
        <f>"001165"</f>
        <v>001165</v>
      </c>
      <c r="D1745" s="12" t="s">
        <v>276</v>
      </c>
      <c r="E1745" s="14" t="s">
        <v>282</v>
      </c>
      <c r="F1745" s="12" t="s">
        <v>3</v>
      </c>
      <c r="G1745" s="15">
        <v>14</v>
      </c>
      <c r="H1745" s="12" t="s">
        <v>274</v>
      </c>
      <c r="I1745" s="12" t="s">
        <v>124</v>
      </c>
      <c r="K1745" s="16">
        <v>12.72</v>
      </c>
      <c r="L1745" s="16">
        <v>19.899999999999999</v>
      </c>
      <c r="M1745" s="16">
        <v>19.77</v>
      </c>
    </row>
    <row r="1746" spans="1:13" ht="33.75" outlineLevel="3" x14ac:dyDescent="0.2">
      <c r="B1746" s="4" t="str">
        <f>"0002060014"</f>
        <v>0002060014</v>
      </c>
      <c r="C1746" s="5" t="str">
        <f>"005963"</f>
        <v>005963</v>
      </c>
      <c r="D1746" s="12" t="s">
        <v>272</v>
      </c>
      <c r="E1746" s="14" t="s">
        <v>282</v>
      </c>
      <c r="F1746" s="12" t="s">
        <v>3</v>
      </c>
      <c r="G1746" s="15">
        <v>14</v>
      </c>
      <c r="H1746" s="12" t="s">
        <v>274</v>
      </c>
      <c r="I1746" s="12" t="s">
        <v>6</v>
      </c>
      <c r="K1746" s="16">
        <v>12.72</v>
      </c>
      <c r="L1746" s="16">
        <v>19.899999999999999</v>
      </c>
      <c r="M1746" s="16">
        <v>19.77</v>
      </c>
    </row>
    <row r="1747" spans="1:13" ht="33.75" outlineLevel="3" x14ac:dyDescent="0.2">
      <c r="B1747" s="4" t="str">
        <f>"0002060014"</f>
        <v>0002060014</v>
      </c>
      <c r="C1747" s="5" t="str">
        <f>"090070"</f>
        <v>090070</v>
      </c>
      <c r="D1747" s="12" t="s">
        <v>275</v>
      </c>
      <c r="E1747" s="14" t="s">
        <v>282</v>
      </c>
      <c r="F1747" s="12" t="s">
        <v>3</v>
      </c>
      <c r="G1747" s="15">
        <v>14</v>
      </c>
      <c r="H1747" s="12" t="s">
        <v>274</v>
      </c>
      <c r="I1747" s="12" t="s">
        <v>58</v>
      </c>
      <c r="K1747" s="16">
        <v>12.72</v>
      </c>
      <c r="L1747" s="16">
        <v>19.899999999999999</v>
      </c>
      <c r="M1747" s="16">
        <v>19.77</v>
      </c>
    </row>
    <row r="1748" spans="1:13" ht="33.75" outlineLevel="3" x14ac:dyDescent="0.2">
      <c r="B1748" s="4" t="str">
        <f>"0002060014"</f>
        <v>0002060014</v>
      </c>
      <c r="C1748" s="5" t="str">
        <f>"161113"</f>
        <v>161113</v>
      </c>
      <c r="D1748" s="12" t="s">
        <v>279</v>
      </c>
      <c r="E1748" s="14" t="s">
        <v>282</v>
      </c>
      <c r="F1748" s="12" t="s">
        <v>3</v>
      </c>
      <c r="G1748" s="15">
        <v>14</v>
      </c>
      <c r="H1748" s="12" t="s">
        <v>274</v>
      </c>
      <c r="I1748" s="12" t="s">
        <v>280</v>
      </c>
      <c r="K1748" s="16">
        <v>11.62</v>
      </c>
      <c r="L1748" s="16">
        <v>18.27</v>
      </c>
      <c r="M1748" s="16">
        <v>19.77</v>
      </c>
    </row>
    <row r="1749" spans="1:13" outlineLevel="1" x14ac:dyDescent="0.2">
      <c r="A1749" s="3"/>
    </row>
    <row r="1750" spans="1:13" outlineLevel="2" x14ac:dyDescent="0.2">
      <c r="A1750" s="3" t="s">
        <v>1495</v>
      </c>
    </row>
    <row r="1751" spans="1:13" ht="33.75" outlineLevel="3" x14ac:dyDescent="0.2">
      <c r="B1751" s="4" t="str">
        <f>"0002090014"</f>
        <v>0002090014</v>
      </c>
      <c r="C1751" s="5" t="str">
        <f>"163048"</f>
        <v>163048</v>
      </c>
      <c r="D1751" s="12" t="s">
        <v>285</v>
      </c>
      <c r="E1751" s="14" t="s">
        <v>66</v>
      </c>
      <c r="F1751" s="12" t="s">
        <v>3</v>
      </c>
      <c r="G1751" s="15">
        <v>14</v>
      </c>
      <c r="H1751" s="12" t="s">
        <v>284</v>
      </c>
      <c r="I1751" s="12" t="s">
        <v>5</v>
      </c>
      <c r="K1751" s="16">
        <v>5.31</v>
      </c>
      <c r="L1751" s="16">
        <v>8.4700000000000006</v>
      </c>
      <c r="M1751" s="16">
        <v>9.9600000000000009</v>
      </c>
    </row>
    <row r="1752" spans="1:13" ht="33.75" outlineLevel="3" x14ac:dyDescent="0.2">
      <c r="B1752" s="4" t="str">
        <f>"0002090014"</f>
        <v>0002090014</v>
      </c>
      <c r="C1752" s="5" t="str">
        <f>"006183"</f>
        <v>006183</v>
      </c>
      <c r="D1752" s="12" t="s">
        <v>283</v>
      </c>
      <c r="E1752" s="14" t="s">
        <v>66</v>
      </c>
      <c r="F1752" s="12" t="s">
        <v>3</v>
      </c>
      <c r="G1752" s="15">
        <v>14</v>
      </c>
      <c r="H1752" s="12" t="s">
        <v>284</v>
      </c>
      <c r="I1752" s="12" t="s">
        <v>58</v>
      </c>
      <c r="K1752" s="16">
        <v>5.3</v>
      </c>
      <c r="L1752" s="16">
        <v>8.4600000000000009</v>
      </c>
      <c r="M1752" s="16">
        <v>9.9600000000000009</v>
      </c>
    </row>
    <row r="1753" spans="1:13" outlineLevel="2" x14ac:dyDescent="0.2"/>
    <row r="1754" spans="1:13" ht="33.75" outlineLevel="3" x14ac:dyDescent="0.2">
      <c r="B1754" s="4" t="str">
        <f>"0002090020"</f>
        <v>0002090020</v>
      </c>
      <c r="C1754" s="5" t="str">
        <f>"174938"</f>
        <v>174938</v>
      </c>
      <c r="D1754" s="12" t="s">
        <v>285</v>
      </c>
      <c r="E1754" s="14" t="s">
        <v>66</v>
      </c>
      <c r="F1754" s="12" t="s">
        <v>3</v>
      </c>
      <c r="G1754" s="15">
        <v>20</v>
      </c>
      <c r="H1754" s="12" t="s">
        <v>284</v>
      </c>
      <c r="I1754" s="12" t="s">
        <v>5</v>
      </c>
      <c r="K1754" s="16">
        <v>6.85</v>
      </c>
      <c r="L1754" s="16">
        <v>10.92</v>
      </c>
      <c r="M1754" s="16">
        <v>12.3</v>
      </c>
    </row>
    <row r="1755" spans="1:13" ht="33.75" outlineLevel="3" x14ac:dyDescent="0.2">
      <c r="B1755" s="4" t="str">
        <f>"0002090020"</f>
        <v>0002090020</v>
      </c>
      <c r="C1755" s="5" t="str">
        <f>"007061"</f>
        <v>007061</v>
      </c>
      <c r="D1755" s="12" t="s">
        <v>283</v>
      </c>
      <c r="E1755" s="14" t="s">
        <v>66</v>
      </c>
      <c r="F1755" s="12" t="s">
        <v>3</v>
      </c>
      <c r="G1755" s="15">
        <v>20</v>
      </c>
      <c r="H1755" s="12" t="s">
        <v>284</v>
      </c>
      <c r="I1755" s="12" t="s">
        <v>58</v>
      </c>
      <c r="K1755" s="16">
        <v>6.77</v>
      </c>
      <c r="L1755" s="16">
        <v>10.8</v>
      </c>
      <c r="M1755" s="16">
        <v>12.3</v>
      </c>
    </row>
    <row r="1756" spans="1:13" ht="33.75" outlineLevel="3" x14ac:dyDescent="0.2">
      <c r="B1756" s="4" t="str">
        <f>"0002090030"</f>
        <v>0002090030</v>
      </c>
      <c r="C1756" s="5" t="str">
        <f>"007072"</f>
        <v>007072</v>
      </c>
      <c r="D1756" s="12" t="s">
        <v>283</v>
      </c>
      <c r="E1756" s="14" t="s">
        <v>66</v>
      </c>
      <c r="F1756" s="12" t="s">
        <v>3</v>
      </c>
      <c r="G1756" s="15">
        <v>30</v>
      </c>
      <c r="H1756" s="12" t="s">
        <v>284</v>
      </c>
      <c r="I1756" s="12" t="s">
        <v>58</v>
      </c>
      <c r="K1756" s="16">
        <v>9.49</v>
      </c>
      <c r="L1756" s="16">
        <v>15.1</v>
      </c>
      <c r="M1756" s="16">
        <v>16.059999999999999</v>
      </c>
    </row>
    <row r="1757" spans="1:13" ht="33.75" outlineLevel="3" x14ac:dyDescent="0.2">
      <c r="B1757" s="4" t="str">
        <f>"0002090030"</f>
        <v>0002090030</v>
      </c>
      <c r="C1757" s="5" t="str">
        <f>"175356"</f>
        <v>175356</v>
      </c>
      <c r="D1757" s="12" t="s">
        <v>285</v>
      </c>
      <c r="E1757" s="14" t="s">
        <v>66</v>
      </c>
      <c r="F1757" s="12" t="s">
        <v>3</v>
      </c>
      <c r="G1757" s="15">
        <v>30</v>
      </c>
      <c r="H1757" s="12" t="s">
        <v>284</v>
      </c>
      <c r="I1757" s="12" t="s">
        <v>5</v>
      </c>
      <c r="K1757" s="16">
        <v>9.1300000000000008</v>
      </c>
      <c r="L1757" s="16">
        <v>14.56</v>
      </c>
      <c r="M1757" s="16">
        <v>16.059999999999999</v>
      </c>
    </row>
    <row r="1758" spans="1:13" outlineLevel="2" x14ac:dyDescent="0.2"/>
    <row r="1759" spans="1:13" ht="33.75" outlineLevel="3" x14ac:dyDescent="0.2">
      <c r="B1759" s="4" t="str">
        <f>"0002090100"</f>
        <v>0002090100</v>
      </c>
      <c r="C1759" s="5" t="str">
        <f>"175521"</f>
        <v>175521</v>
      </c>
      <c r="D1759" s="12" t="s">
        <v>285</v>
      </c>
      <c r="E1759" s="14" t="s">
        <v>66</v>
      </c>
      <c r="F1759" s="12" t="s">
        <v>3</v>
      </c>
      <c r="G1759" s="15">
        <v>100</v>
      </c>
      <c r="H1759" s="12" t="s">
        <v>284</v>
      </c>
      <c r="I1759" s="12" t="s">
        <v>5</v>
      </c>
      <c r="K1759" s="16">
        <v>28.5</v>
      </c>
      <c r="L1759" s="16">
        <v>43.34</v>
      </c>
      <c r="M1759" s="16">
        <v>45.34</v>
      </c>
    </row>
    <row r="1760" spans="1:13" outlineLevel="2" x14ac:dyDescent="0.2"/>
    <row r="1761" spans="1:13" ht="33.75" outlineLevel="3" x14ac:dyDescent="0.2">
      <c r="B1761" s="4" t="str">
        <f>"0002100014"</f>
        <v>0002100014</v>
      </c>
      <c r="C1761" s="5" t="str">
        <f>"006222"</f>
        <v>006222</v>
      </c>
      <c r="D1761" s="12" t="s">
        <v>283</v>
      </c>
      <c r="E1761" s="14" t="s">
        <v>263</v>
      </c>
      <c r="F1761" s="12" t="s">
        <v>3</v>
      </c>
      <c r="G1761" s="15">
        <v>14</v>
      </c>
      <c r="H1761" s="12" t="s">
        <v>284</v>
      </c>
      <c r="I1761" s="12" t="s">
        <v>58</v>
      </c>
      <c r="K1761" s="16">
        <v>7.48</v>
      </c>
      <c r="L1761" s="16">
        <v>11.94</v>
      </c>
      <c r="M1761" s="16">
        <v>12.51</v>
      </c>
    </row>
    <row r="1762" spans="1:13" ht="33.75" outlineLevel="3" x14ac:dyDescent="0.2">
      <c r="B1762" s="4" t="str">
        <f>"0002100014"</f>
        <v>0002100014</v>
      </c>
      <c r="C1762" s="5" t="str">
        <f>"555979"</f>
        <v>555979</v>
      </c>
      <c r="D1762" s="12" t="s">
        <v>285</v>
      </c>
      <c r="E1762" s="14" t="s">
        <v>263</v>
      </c>
      <c r="F1762" s="12" t="s">
        <v>3</v>
      </c>
      <c r="G1762" s="15">
        <v>14</v>
      </c>
      <c r="H1762" s="12" t="s">
        <v>284</v>
      </c>
      <c r="I1762" s="12" t="s">
        <v>5</v>
      </c>
      <c r="K1762" s="16">
        <v>6.9</v>
      </c>
      <c r="L1762" s="16">
        <v>11.01</v>
      </c>
      <c r="M1762" s="16">
        <v>12.51</v>
      </c>
    </row>
    <row r="1763" spans="1:13" outlineLevel="2" x14ac:dyDescent="0.2"/>
    <row r="1764" spans="1:13" ht="33.75" outlineLevel="3" x14ac:dyDescent="0.2">
      <c r="B1764" s="4" t="str">
        <f>"0002100020"</f>
        <v>0002100020</v>
      </c>
      <c r="C1764" s="5" t="str">
        <f>"007083"</f>
        <v>007083</v>
      </c>
      <c r="D1764" s="12" t="s">
        <v>283</v>
      </c>
      <c r="E1764" s="14" t="s">
        <v>263</v>
      </c>
      <c r="F1764" s="12" t="s">
        <v>3</v>
      </c>
      <c r="G1764" s="15">
        <v>20</v>
      </c>
      <c r="H1764" s="12" t="s">
        <v>284</v>
      </c>
      <c r="I1764" s="12" t="s">
        <v>58</v>
      </c>
      <c r="K1764" s="16">
        <v>9.49</v>
      </c>
      <c r="L1764" s="16">
        <v>15.1</v>
      </c>
      <c r="M1764" s="16">
        <v>15.92</v>
      </c>
    </row>
    <row r="1765" spans="1:13" ht="33.75" outlineLevel="3" x14ac:dyDescent="0.2">
      <c r="B1765" s="4" t="str">
        <f>"0002100020"</f>
        <v>0002100020</v>
      </c>
      <c r="C1765" s="5" t="str">
        <f>"555987"</f>
        <v>555987</v>
      </c>
      <c r="D1765" s="12" t="s">
        <v>285</v>
      </c>
      <c r="E1765" s="14" t="s">
        <v>263</v>
      </c>
      <c r="F1765" s="12" t="s">
        <v>3</v>
      </c>
      <c r="G1765" s="15">
        <v>20</v>
      </c>
      <c r="H1765" s="12" t="s">
        <v>284</v>
      </c>
      <c r="I1765" s="12" t="s">
        <v>5</v>
      </c>
      <c r="K1765" s="16">
        <v>9.0399999999999991</v>
      </c>
      <c r="L1765" s="16">
        <v>14.42</v>
      </c>
      <c r="M1765" s="16">
        <v>15.92</v>
      </c>
    </row>
    <row r="1766" spans="1:13" outlineLevel="1" x14ac:dyDescent="0.2">
      <c r="A1766" s="3"/>
    </row>
    <row r="1767" spans="1:13" outlineLevel="2" x14ac:dyDescent="0.2">
      <c r="A1767" s="3" t="s">
        <v>1496</v>
      </c>
    </row>
    <row r="1768" spans="1:13" ht="33.75" outlineLevel="3" x14ac:dyDescent="0.2">
      <c r="B1768" s="4" t="str">
        <f>"0002190030"</f>
        <v>0002190030</v>
      </c>
      <c r="C1768" s="5" t="str">
        <f>"580092"</f>
        <v>580092</v>
      </c>
      <c r="D1768" s="12" t="s">
        <v>286</v>
      </c>
      <c r="E1768" s="14" t="s">
        <v>118</v>
      </c>
      <c r="F1768" s="12" t="s">
        <v>3</v>
      </c>
      <c r="G1768" s="15">
        <v>30</v>
      </c>
      <c r="H1768" s="12" t="s">
        <v>287</v>
      </c>
      <c r="I1768" s="12" t="s">
        <v>58</v>
      </c>
      <c r="K1768" s="16">
        <v>4.16</v>
      </c>
      <c r="L1768" s="16">
        <v>6.63</v>
      </c>
      <c r="M1768" s="16">
        <v>8.1300000000000008</v>
      </c>
    </row>
    <row r="1769" spans="1:13" outlineLevel="3" x14ac:dyDescent="0.2">
      <c r="B1769" s="4" t="str">
        <f>"0002190030"</f>
        <v>0002190030</v>
      </c>
      <c r="C1769" s="5" t="str">
        <f>"592329"</f>
        <v>592329</v>
      </c>
      <c r="D1769" s="12" t="s">
        <v>288</v>
      </c>
      <c r="E1769" s="14" t="s">
        <v>118</v>
      </c>
      <c r="F1769" s="12" t="s">
        <v>73</v>
      </c>
      <c r="G1769" s="15">
        <v>30</v>
      </c>
      <c r="H1769" s="12" t="s">
        <v>287</v>
      </c>
      <c r="I1769" s="12" t="s">
        <v>64</v>
      </c>
      <c r="K1769" s="16">
        <v>4.16</v>
      </c>
      <c r="L1769" s="16">
        <v>6.63</v>
      </c>
      <c r="M1769" s="16">
        <v>8.1300000000000008</v>
      </c>
    </row>
    <row r="1770" spans="1:13" outlineLevel="2" x14ac:dyDescent="0.2"/>
    <row r="1771" spans="1:13" ht="33.75" outlineLevel="3" x14ac:dyDescent="0.2">
      <c r="B1771" s="4" t="str">
        <f>"0002190100"</f>
        <v>0002190100</v>
      </c>
      <c r="C1771" s="5" t="str">
        <f>"580100"</f>
        <v>580100</v>
      </c>
      <c r="D1771" s="12" t="s">
        <v>286</v>
      </c>
      <c r="E1771" s="14" t="s">
        <v>118</v>
      </c>
      <c r="F1771" s="12" t="s">
        <v>3</v>
      </c>
      <c r="G1771" s="15">
        <v>100</v>
      </c>
      <c r="H1771" s="12" t="s">
        <v>287</v>
      </c>
      <c r="I1771" s="12" t="s">
        <v>58</v>
      </c>
      <c r="K1771" s="16">
        <v>9.7799999999999994</v>
      </c>
      <c r="L1771" s="16">
        <v>15.53</v>
      </c>
      <c r="M1771" s="16">
        <v>16.850000000000001</v>
      </c>
    </row>
    <row r="1772" spans="1:13" outlineLevel="3" x14ac:dyDescent="0.2">
      <c r="B1772" s="4" t="str">
        <f>"0002190100"</f>
        <v>0002190100</v>
      </c>
      <c r="C1772" s="5" t="str">
        <f>"592337"</f>
        <v>592337</v>
      </c>
      <c r="D1772" s="12" t="s">
        <v>288</v>
      </c>
      <c r="E1772" s="14" t="s">
        <v>118</v>
      </c>
      <c r="F1772" s="12" t="s">
        <v>73</v>
      </c>
      <c r="G1772" s="15">
        <v>100</v>
      </c>
      <c r="H1772" s="12" t="s">
        <v>287</v>
      </c>
      <c r="I1772" s="12" t="s">
        <v>64</v>
      </c>
      <c r="K1772" s="16">
        <v>9.65</v>
      </c>
      <c r="L1772" s="16">
        <v>15.35</v>
      </c>
      <c r="M1772" s="16">
        <v>16.850000000000001</v>
      </c>
    </row>
    <row r="1773" spans="1:13" outlineLevel="2" x14ac:dyDescent="0.2"/>
    <row r="1774" spans="1:13" outlineLevel="3" x14ac:dyDescent="0.2">
      <c r="B1774" s="4" t="str">
        <f>"0002200010"</f>
        <v>0002200010</v>
      </c>
      <c r="C1774" s="5" t="str">
        <f>"592352"</f>
        <v>592352</v>
      </c>
      <c r="D1774" s="12" t="s">
        <v>288</v>
      </c>
      <c r="E1774" s="14" t="s">
        <v>289</v>
      </c>
      <c r="F1774" s="12" t="s">
        <v>73</v>
      </c>
      <c r="G1774" s="15">
        <v>10</v>
      </c>
      <c r="H1774" s="12" t="s">
        <v>287</v>
      </c>
      <c r="I1774" s="12" t="s">
        <v>64</v>
      </c>
      <c r="K1774" s="16">
        <v>2.56</v>
      </c>
      <c r="L1774" s="16">
        <v>4.08</v>
      </c>
      <c r="M1774" s="16">
        <v>5.58</v>
      </c>
    </row>
    <row r="1775" spans="1:13" outlineLevel="2" x14ac:dyDescent="0.2"/>
    <row r="1776" spans="1:13" ht="33.75" outlineLevel="3" x14ac:dyDescent="0.2">
      <c r="B1776" s="4" t="str">
        <f>"0002200100"</f>
        <v>0002200100</v>
      </c>
      <c r="C1776" s="5" t="str">
        <f>"166215"</f>
        <v>166215</v>
      </c>
      <c r="D1776" s="12" t="s">
        <v>286</v>
      </c>
      <c r="E1776" s="14" t="s">
        <v>289</v>
      </c>
      <c r="F1776" s="12" t="s">
        <v>3</v>
      </c>
      <c r="G1776" s="15">
        <v>100</v>
      </c>
      <c r="H1776" s="12" t="s">
        <v>287</v>
      </c>
      <c r="I1776" s="12" t="s">
        <v>58</v>
      </c>
      <c r="K1776" s="16">
        <v>19.170000000000002</v>
      </c>
      <c r="L1776" s="16">
        <v>29.48</v>
      </c>
      <c r="M1776" s="16">
        <v>30.98</v>
      </c>
    </row>
    <row r="1777" spans="1:13" outlineLevel="3" x14ac:dyDescent="0.2">
      <c r="B1777" s="4" t="str">
        <f>"0002200100"</f>
        <v>0002200100</v>
      </c>
      <c r="C1777" s="5" t="str">
        <f>"592394"</f>
        <v>592394</v>
      </c>
      <c r="D1777" s="12" t="s">
        <v>288</v>
      </c>
      <c r="E1777" s="14" t="s">
        <v>289</v>
      </c>
      <c r="F1777" s="12" t="s">
        <v>73</v>
      </c>
      <c r="G1777" s="15">
        <v>100</v>
      </c>
      <c r="H1777" s="12" t="s">
        <v>287</v>
      </c>
      <c r="I1777" s="12" t="s">
        <v>64</v>
      </c>
      <c r="K1777" s="16">
        <v>19.170000000000002</v>
      </c>
      <c r="L1777" s="16">
        <v>29.48</v>
      </c>
      <c r="M1777" s="16">
        <v>30.98</v>
      </c>
    </row>
    <row r="1778" spans="1:13" outlineLevel="2" x14ac:dyDescent="0.2"/>
    <row r="1779" spans="1:13" outlineLevel="3" x14ac:dyDescent="0.2">
      <c r="B1779" s="4" t="str">
        <f>"0002210005"</f>
        <v>0002210005</v>
      </c>
      <c r="C1779" s="5" t="str">
        <f>"010797"</f>
        <v>010797</v>
      </c>
      <c r="D1779" s="12" t="s">
        <v>288</v>
      </c>
      <c r="E1779" s="14" t="s">
        <v>12</v>
      </c>
      <c r="F1779" s="12" t="s">
        <v>73</v>
      </c>
      <c r="G1779" s="15">
        <v>5</v>
      </c>
      <c r="H1779" s="12" t="s">
        <v>287</v>
      </c>
      <c r="I1779" s="12" t="s">
        <v>64</v>
      </c>
      <c r="K1779" s="16">
        <v>2.6</v>
      </c>
      <c r="L1779" s="16">
        <v>4.1500000000000004</v>
      </c>
      <c r="M1779" s="16">
        <v>5.65</v>
      </c>
    </row>
    <row r="1780" spans="1:13" outlineLevel="2" x14ac:dyDescent="0.2"/>
    <row r="1781" spans="1:13" outlineLevel="3" x14ac:dyDescent="0.2">
      <c r="B1781" s="4" t="str">
        <f>"0002210010"</f>
        <v>0002210010</v>
      </c>
      <c r="C1781" s="5" t="str">
        <f>"010180"</f>
        <v>010180</v>
      </c>
      <c r="D1781" s="12" t="s">
        <v>288</v>
      </c>
      <c r="E1781" s="14" t="s">
        <v>12</v>
      </c>
      <c r="F1781" s="12" t="s">
        <v>73</v>
      </c>
      <c r="G1781" s="15">
        <v>10</v>
      </c>
      <c r="H1781" s="12" t="s">
        <v>287</v>
      </c>
      <c r="I1781" s="12" t="s">
        <v>64</v>
      </c>
      <c r="K1781" s="16">
        <v>4.1100000000000003</v>
      </c>
      <c r="L1781" s="16">
        <v>6.56</v>
      </c>
      <c r="M1781" s="16">
        <v>8.06</v>
      </c>
    </row>
    <row r="1782" spans="1:13" outlineLevel="1" x14ac:dyDescent="0.2">
      <c r="A1782" s="3"/>
    </row>
    <row r="1783" spans="1:13" outlineLevel="2" x14ac:dyDescent="0.2">
      <c r="A1783" s="3" t="s">
        <v>1497</v>
      </c>
    </row>
    <row r="1784" spans="1:13" ht="33.75" outlineLevel="3" x14ac:dyDescent="0.2">
      <c r="B1784" s="4" t="str">
        <f>"0002220015"</f>
        <v>0002220015</v>
      </c>
      <c r="C1784" s="5" t="str">
        <f>"021504"</f>
        <v>021504</v>
      </c>
      <c r="D1784" s="12" t="s">
        <v>290</v>
      </c>
      <c r="E1784" s="14" t="s">
        <v>2</v>
      </c>
      <c r="F1784" s="12" t="s">
        <v>3</v>
      </c>
      <c r="G1784" s="15">
        <v>15</v>
      </c>
      <c r="H1784" s="12" t="s">
        <v>291</v>
      </c>
      <c r="I1784" s="12" t="s">
        <v>124</v>
      </c>
      <c r="K1784" s="16">
        <v>11.1</v>
      </c>
      <c r="L1784" s="16">
        <v>17.5</v>
      </c>
      <c r="M1784" s="16">
        <v>19</v>
      </c>
    </row>
    <row r="1785" spans="1:13" outlineLevel="2" x14ac:dyDescent="0.2"/>
    <row r="1786" spans="1:13" ht="33.75" outlineLevel="3" x14ac:dyDescent="0.2">
      <c r="B1786" s="4" t="str">
        <f>"0002220020"</f>
        <v>0002220020</v>
      </c>
      <c r="C1786" s="5" t="str">
        <f>"009292"</f>
        <v>009292</v>
      </c>
      <c r="D1786" s="12" t="s">
        <v>290</v>
      </c>
      <c r="E1786" s="14" t="s">
        <v>2</v>
      </c>
      <c r="F1786" s="12" t="s">
        <v>3</v>
      </c>
      <c r="G1786" s="15">
        <v>20</v>
      </c>
      <c r="H1786" s="12" t="s">
        <v>291</v>
      </c>
      <c r="I1786" s="12" t="s">
        <v>124</v>
      </c>
      <c r="K1786" s="16">
        <v>5.94</v>
      </c>
      <c r="L1786" s="16">
        <v>9.4700000000000006</v>
      </c>
      <c r="M1786" s="16">
        <v>10.5</v>
      </c>
    </row>
    <row r="1787" spans="1:13" ht="33.75" outlineLevel="3" x14ac:dyDescent="0.2">
      <c r="B1787" s="4" t="str">
        <f>"0002220020"</f>
        <v>0002220020</v>
      </c>
      <c r="C1787" s="5" t="str">
        <f>"509138"</f>
        <v>509138</v>
      </c>
      <c r="D1787" s="12" t="s">
        <v>292</v>
      </c>
      <c r="E1787" s="14" t="s">
        <v>2</v>
      </c>
      <c r="F1787" s="12" t="s">
        <v>3</v>
      </c>
      <c r="G1787" s="15">
        <v>20</v>
      </c>
      <c r="H1787" s="12" t="s">
        <v>291</v>
      </c>
      <c r="I1787" s="12" t="s">
        <v>293</v>
      </c>
      <c r="K1787" s="16">
        <v>5.64</v>
      </c>
      <c r="L1787" s="16">
        <v>9</v>
      </c>
      <c r="M1787" s="16">
        <v>10.5</v>
      </c>
    </row>
    <row r="1788" spans="1:13" outlineLevel="2" x14ac:dyDescent="0.2"/>
    <row r="1789" spans="1:13" ht="33.75" outlineLevel="3" x14ac:dyDescent="0.2">
      <c r="B1789" s="4" t="str">
        <f>"0002230007"</f>
        <v>0002230007</v>
      </c>
      <c r="C1789" s="5" t="str">
        <f>"009303"</f>
        <v>009303</v>
      </c>
      <c r="D1789" s="12" t="s">
        <v>290</v>
      </c>
      <c r="E1789" s="14" t="s">
        <v>12</v>
      </c>
      <c r="F1789" s="12" t="s">
        <v>3</v>
      </c>
      <c r="G1789" s="15">
        <v>7</v>
      </c>
      <c r="H1789" s="12" t="s">
        <v>291</v>
      </c>
      <c r="I1789" s="12" t="s">
        <v>124</v>
      </c>
      <c r="K1789" s="16">
        <v>6.8</v>
      </c>
      <c r="L1789" s="16">
        <v>10.85</v>
      </c>
      <c r="M1789" s="16">
        <v>10.8</v>
      </c>
    </row>
    <row r="1790" spans="1:13" ht="33.75" outlineLevel="3" x14ac:dyDescent="0.2">
      <c r="B1790" s="4" t="str">
        <f>"0002230007"</f>
        <v>0002230007</v>
      </c>
      <c r="C1790" s="5" t="str">
        <f>"411505"</f>
        <v>411505</v>
      </c>
      <c r="D1790" s="12" t="s">
        <v>292</v>
      </c>
      <c r="E1790" s="14" t="s">
        <v>12</v>
      </c>
      <c r="F1790" s="12" t="s">
        <v>3</v>
      </c>
      <c r="G1790" s="15">
        <v>7</v>
      </c>
      <c r="H1790" s="12" t="s">
        <v>291</v>
      </c>
      <c r="I1790" s="12" t="s">
        <v>293</v>
      </c>
      <c r="K1790" s="16">
        <v>5.83</v>
      </c>
      <c r="L1790" s="16">
        <v>9.3000000000000007</v>
      </c>
      <c r="M1790" s="16">
        <v>10.8</v>
      </c>
    </row>
    <row r="1791" spans="1:13" outlineLevel="2" x14ac:dyDescent="0.2"/>
    <row r="1792" spans="1:13" ht="33.75" outlineLevel="3" x14ac:dyDescent="0.2">
      <c r="B1792" s="4" t="str">
        <f>"0002230010"</f>
        <v>0002230010</v>
      </c>
      <c r="C1792" s="5" t="str">
        <f>"009314"</f>
        <v>009314</v>
      </c>
      <c r="D1792" s="12" t="s">
        <v>290</v>
      </c>
      <c r="E1792" s="14" t="s">
        <v>12</v>
      </c>
      <c r="F1792" s="12" t="s">
        <v>3</v>
      </c>
      <c r="G1792" s="15">
        <v>10</v>
      </c>
      <c r="H1792" s="12" t="s">
        <v>291</v>
      </c>
      <c r="I1792" s="12" t="s">
        <v>124</v>
      </c>
      <c r="J1792" s="2" t="s">
        <v>1400</v>
      </c>
      <c r="K1792" s="16">
        <v>9.35</v>
      </c>
      <c r="L1792" s="16">
        <v>14.89</v>
      </c>
      <c r="M1792" s="16">
        <v>14.9</v>
      </c>
    </row>
    <row r="1793" spans="1:13" ht="33.75" outlineLevel="3" x14ac:dyDescent="0.2">
      <c r="B1793" s="4" t="str">
        <f>"0002230010"</f>
        <v>0002230010</v>
      </c>
      <c r="C1793" s="5" t="str">
        <f>"558782"</f>
        <v>558782</v>
      </c>
      <c r="D1793" s="12" t="s">
        <v>292</v>
      </c>
      <c r="E1793" s="14" t="s">
        <v>12</v>
      </c>
      <c r="F1793" s="12" t="s">
        <v>3</v>
      </c>
      <c r="G1793" s="15">
        <v>10</v>
      </c>
      <c r="H1793" s="12" t="s">
        <v>291</v>
      </c>
      <c r="I1793" s="12" t="s">
        <v>293</v>
      </c>
      <c r="K1793" s="16">
        <v>8.4</v>
      </c>
      <c r="L1793" s="16">
        <v>13.4</v>
      </c>
      <c r="M1793" s="16">
        <v>14.9</v>
      </c>
    </row>
    <row r="1794" spans="1:13" outlineLevel="1" x14ac:dyDescent="0.2">
      <c r="A1794" s="3"/>
    </row>
    <row r="1795" spans="1:13" outlineLevel="2" x14ac:dyDescent="0.2">
      <c r="A1795" s="3" t="s">
        <v>1498</v>
      </c>
    </row>
    <row r="1796" spans="1:13" ht="33.75" outlineLevel="3" x14ac:dyDescent="0.2">
      <c r="B1796" s="4" t="str">
        <f>"0002240014"</f>
        <v>0002240014</v>
      </c>
      <c r="C1796" s="5" t="str">
        <f>"421578"</f>
        <v>421578</v>
      </c>
      <c r="D1796" s="12" t="s">
        <v>294</v>
      </c>
      <c r="E1796" s="14" t="s">
        <v>295</v>
      </c>
      <c r="F1796" s="12" t="s">
        <v>3</v>
      </c>
      <c r="G1796" s="15">
        <v>14</v>
      </c>
      <c r="H1796" s="12" t="s">
        <v>296</v>
      </c>
      <c r="I1796" s="12" t="s">
        <v>58</v>
      </c>
      <c r="K1796" s="16">
        <v>15.82</v>
      </c>
      <c r="L1796" s="16">
        <v>24.51</v>
      </c>
      <c r="M1796" s="16">
        <v>26.01</v>
      </c>
    </row>
    <row r="1797" spans="1:13" ht="33.75" outlineLevel="3" x14ac:dyDescent="0.2">
      <c r="B1797" s="4" t="str">
        <f>"0002240014"</f>
        <v>0002240014</v>
      </c>
      <c r="C1797" s="5" t="str">
        <f>"464591"</f>
        <v>464591</v>
      </c>
      <c r="D1797" s="12" t="s">
        <v>297</v>
      </c>
      <c r="E1797" s="14" t="s">
        <v>295</v>
      </c>
      <c r="F1797" s="12" t="s">
        <v>3</v>
      </c>
      <c r="G1797" s="15">
        <v>14</v>
      </c>
      <c r="H1797" s="12" t="s">
        <v>296</v>
      </c>
      <c r="I1797" s="12" t="s">
        <v>298</v>
      </c>
      <c r="K1797" s="16">
        <v>15.82</v>
      </c>
      <c r="L1797" s="16">
        <v>24.51</v>
      </c>
      <c r="M1797" s="16">
        <v>26.01</v>
      </c>
    </row>
    <row r="1798" spans="1:13" outlineLevel="2" x14ac:dyDescent="0.2"/>
    <row r="1799" spans="1:13" ht="33.75" outlineLevel="3" x14ac:dyDescent="0.2">
      <c r="B1799" s="4" t="str">
        <f>"0002300050"</f>
        <v>0002300050</v>
      </c>
      <c r="C1799" s="5" t="str">
        <f>"134338"</f>
        <v>134338</v>
      </c>
      <c r="D1799" s="12" t="s">
        <v>310</v>
      </c>
      <c r="E1799" s="14" t="s">
        <v>259</v>
      </c>
      <c r="F1799" s="12" t="s">
        <v>311</v>
      </c>
      <c r="G1799" s="15" t="s">
        <v>256</v>
      </c>
      <c r="H1799" s="12" t="s">
        <v>296</v>
      </c>
      <c r="I1799" s="12" t="s">
        <v>312</v>
      </c>
      <c r="K1799" s="16">
        <v>7.67</v>
      </c>
      <c r="L1799" s="16">
        <v>12.23</v>
      </c>
      <c r="M1799" s="16">
        <v>13.73</v>
      </c>
    </row>
    <row r="1800" spans="1:13" ht="33.75" outlineLevel="3" x14ac:dyDescent="0.2">
      <c r="B1800" s="4" t="str">
        <f>"0002300050"</f>
        <v>0002300050</v>
      </c>
      <c r="C1800" s="5" t="str">
        <f>"537548"</f>
        <v>537548</v>
      </c>
      <c r="D1800" s="12" t="s">
        <v>294</v>
      </c>
      <c r="E1800" s="14" t="s">
        <v>259</v>
      </c>
      <c r="F1800" s="12" t="s">
        <v>311</v>
      </c>
      <c r="G1800" s="15" t="s">
        <v>256</v>
      </c>
      <c r="H1800" s="12" t="s">
        <v>296</v>
      </c>
      <c r="I1800" s="12" t="s">
        <v>58</v>
      </c>
      <c r="K1800" s="16">
        <v>7.67</v>
      </c>
      <c r="L1800" s="16">
        <v>12.23</v>
      </c>
      <c r="M1800" s="16">
        <v>13.73</v>
      </c>
    </row>
    <row r="1801" spans="1:13" outlineLevel="2" x14ac:dyDescent="0.2"/>
    <row r="1802" spans="1:13" ht="33.75" outlineLevel="3" x14ac:dyDescent="0.2">
      <c r="B1802" s="4" t="str">
        <f>"0002300100"</f>
        <v>0002300100</v>
      </c>
      <c r="C1802" s="5" t="str">
        <f>"135079"</f>
        <v>135079</v>
      </c>
      <c r="D1802" s="12" t="s">
        <v>310</v>
      </c>
      <c r="E1802" s="14" t="s">
        <v>259</v>
      </c>
      <c r="F1802" s="12" t="s">
        <v>311</v>
      </c>
      <c r="G1802" s="15" t="s">
        <v>260</v>
      </c>
      <c r="H1802" s="12" t="s">
        <v>296</v>
      </c>
      <c r="I1802" s="12" t="s">
        <v>312</v>
      </c>
      <c r="K1802" s="16">
        <v>12.73</v>
      </c>
      <c r="L1802" s="16">
        <v>19.920000000000002</v>
      </c>
      <c r="M1802" s="16">
        <v>21.42</v>
      </c>
    </row>
    <row r="1803" spans="1:13" ht="33.75" outlineLevel="3" x14ac:dyDescent="0.2">
      <c r="B1803" s="4" t="str">
        <f>"0002300100"</f>
        <v>0002300100</v>
      </c>
      <c r="C1803" s="5" t="str">
        <f>"537555"</f>
        <v>537555</v>
      </c>
      <c r="D1803" s="12" t="s">
        <v>294</v>
      </c>
      <c r="E1803" s="14" t="s">
        <v>259</v>
      </c>
      <c r="F1803" s="12" t="s">
        <v>311</v>
      </c>
      <c r="G1803" s="15" t="s">
        <v>260</v>
      </c>
      <c r="H1803" s="12" t="s">
        <v>296</v>
      </c>
      <c r="I1803" s="12" t="s">
        <v>58</v>
      </c>
      <c r="K1803" s="16">
        <v>12.73</v>
      </c>
      <c r="L1803" s="16">
        <v>19.920000000000002</v>
      </c>
      <c r="M1803" s="16">
        <v>21.42</v>
      </c>
    </row>
    <row r="1804" spans="1:13" outlineLevel="2" x14ac:dyDescent="0.2"/>
    <row r="1805" spans="1:13" ht="33.75" outlineLevel="3" x14ac:dyDescent="0.2">
      <c r="B1805" s="4" t="str">
        <f>"0002310014"</f>
        <v>0002310014</v>
      </c>
      <c r="C1805" s="5" t="str">
        <f>"421727"</f>
        <v>421727</v>
      </c>
      <c r="D1805" s="12" t="s">
        <v>294</v>
      </c>
      <c r="E1805" s="14" t="s">
        <v>66</v>
      </c>
      <c r="F1805" s="12" t="s">
        <v>3</v>
      </c>
      <c r="G1805" s="15">
        <v>14</v>
      </c>
      <c r="H1805" s="12" t="s">
        <v>296</v>
      </c>
      <c r="I1805" s="12" t="s">
        <v>58</v>
      </c>
      <c r="K1805" s="16">
        <v>26.07</v>
      </c>
      <c r="L1805" s="16">
        <v>39.72</v>
      </c>
      <c r="M1805" s="16">
        <v>41.22</v>
      </c>
    </row>
    <row r="1806" spans="1:13" ht="33.75" outlineLevel="3" x14ac:dyDescent="0.2">
      <c r="B1806" s="4" t="str">
        <f>"0002310014"</f>
        <v>0002310014</v>
      </c>
      <c r="C1806" s="5" t="str">
        <f>"443904"</f>
        <v>443904</v>
      </c>
      <c r="D1806" s="12" t="s">
        <v>297</v>
      </c>
      <c r="E1806" s="14" t="s">
        <v>66</v>
      </c>
      <c r="F1806" s="12" t="s">
        <v>3</v>
      </c>
      <c r="G1806" s="15">
        <v>14</v>
      </c>
      <c r="H1806" s="12" t="s">
        <v>296</v>
      </c>
      <c r="I1806" s="12" t="s">
        <v>298</v>
      </c>
      <c r="K1806" s="16">
        <v>26.07</v>
      </c>
      <c r="L1806" s="16">
        <v>39.72</v>
      </c>
      <c r="M1806" s="16">
        <v>41.22</v>
      </c>
    </row>
    <row r="1807" spans="1:13" outlineLevel="2" x14ac:dyDescent="0.2"/>
    <row r="1808" spans="1:13" outlineLevel="3" x14ac:dyDescent="0.2">
      <c r="B1808" s="4" t="str">
        <f>"0007540007"</f>
        <v>0007540007</v>
      </c>
      <c r="C1808" s="5" t="str">
        <f>"152652"</f>
        <v>152652</v>
      </c>
      <c r="D1808" s="12" t="s">
        <v>841</v>
      </c>
      <c r="E1808" s="14" t="s">
        <v>66</v>
      </c>
      <c r="F1808" s="12" t="s">
        <v>441</v>
      </c>
      <c r="G1808" s="15">
        <v>7</v>
      </c>
      <c r="H1808" s="12" t="s">
        <v>296</v>
      </c>
      <c r="I1808" s="12" t="s">
        <v>58</v>
      </c>
      <c r="K1808" s="16">
        <v>12.78</v>
      </c>
      <c r="L1808" s="16">
        <v>19.989999999999998</v>
      </c>
      <c r="M1808" s="16">
        <v>19.5</v>
      </c>
    </row>
    <row r="1809" spans="1:13" ht="33.75" outlineLevel="3" x14ac:dyDescent="0.2">
      <c r="B1809" s="4" t="str">
        <f>"0007540007"</f>
        <v>0007540007</v>
      </c>
      <c r="C1809" s="5" t="str">
        <f>"494146"</f>
        <v>494146</v>
      </c>
      <c r="D1809" s="12" t="s">
        <v>839</v>
      </c>
      <c r="E1809" s="14" t="s">
        <v>66</v>
      </c>
      <c r="F1809" s="12" t="s">
        <v>840</v>
      </c>
      <c r="G1809" s="15">
        <v>7</v>
      </c>
      <c r="H1809" s="12" t="s">
        <v>296</v>
      </c>
      <c r="I1809" s="12" t="s">
        <v>312</v>
      </c>
      <c r="K1809" s="16">
        <v>12.78</v>
      </c>
      <c r="L1809" s="16">
        <v>19.989999999999998</v>
      </c>
      <c r="M1809" s="16">
        <v>19.5</v>
      </c>
    </row>
    <row r="1810" spans="1:13" ht="33.75" outlineLevel="3" x14ac:dyDescent="0.2">
      <c r="B1810" s="4" t="str">
        <f>"0007540007"</f>
        <v>0007540007</v>
      </c>
      <c r="C1810" s="5" t="str">
        <f>"020296"</f>
        <v>020296</v>
      </c>
      <c r="D1810" s="12" t="s">
        <v>839</v>
      </c>
      <c r="E1810" s="14" t="s">
        <v>66</v>
      </c>
      <c r="F1810" s="12" t="s">
        <v>840</v>
      </c>
      <c r="G1810" s="15">
        <v>7</v>
      </c>
      <c r="H1810" s="12" t="s">
        <v>296</v>
      </c>
      <c r="I1810" s="12" t="s">
        <v>75</v>
      </c>
      <c r="K1810" s="16">
        <v>11.44</v>
      </c>
      <c r="L1810" s="16">
        <v>18</v>
      </c>
      <c r="M1810" s="16">
        <v>19.5</v>
      </c>
    </row>
    <row r="1811" spans="1:13" outlineLevel="2" x14ac:dyDescent="0.2"/>
    <row r="1812" spans="1:13" outlineLevel="3" x14ac:dyDescent="0.2">
      <c r="B1812" s="4" t="str">
        <f>"0007540010"</f>
        <v>0007540010</v>
      </c>
      <c r="C1812" s="5" t="str">
        <f>"152728"</f>
        <v>152728</v>
      </c>
      <c r="D1812" s="12" t="s">
        <v>841</v>
      </c>
      <c r="E1812" s="14" t="s">
        <v>66</v>
      </c>
      <c r="F1812" s="12" t="s">
        <v>441</v>
      </c>
      <c r="G1812" s="15">
        <v>10</v>
      </c>
      <c r="H1812" s="12" t="s">
        <v>296</v>
      </c>
      <c r="I1812" s="12" t="s">
        <v>58</v>
      </c>
      <c r="K1812" s="16">
        <v>20.64</v>
      </c>
      <c r="L1812" s="16">
        <v>31.66</v>
      </c>
      <c r="M1812" s="16">
        <v>33.159999999999997</v>
      </c>
    </row>
    <row r="1813" spans="1:13" ht="33.75" outlineLevel="3" x14ac:dyDescent="0.2">
      <c r="B1813" s="4" t="str">
        <f>"0007540010"</f>
        <v>0007540010</v>
      </c>
      <c r="C1813" s="5" t="str">
        <f>"494161"</f>
        <v>494161</v>
      </c>
      <c r="D1813" s="12" t="s">
        <v>839</v>
      </c>
      <c r="E1813" s="14" t="s">
        <v>66</v>
      </c>
      <c r="F1813" s="12" t="s">
        <v>840</v>
      </c>
      <c r="G1813" s="15">
        <v>10</v>
      </c>
      <c r="H1813" s="12" t="s">
        <v>296</v>
      </c>
      <c r="I1813" s="12" t="s">
        <v>312</v>
      </c>
      <c r="K1813" s="16">
        <v>20.64</v>
      </c>
      <c r="L1813" s="16">
        <v>31.66</v>
      </c>
      <c r="M1813" s="16">
        <v>33.159999999999997</v>
      </c>
    </row>
    <row r="1814" spans="1:13" outlineLevel="1" x14ac:dyDescent="0.2">
      <c r="A1814" s="3"/>
    </row>
    <row r="1815" spans="1:13" outlineLevel="2" x14ac:dyDescent="0.2">
      <c r="A1815" s="3" t="s">
        <v>1499</v>
      </c>
    </row>
    <row r="1816" spans="1:13" ht="33.75" outlineLevel="3" x14ac:dyDescent="0.2">
      <c r="B1816" s="4" t="str">
        <f>"0005320002"</f>
        <v>0005320002</v>
      </c>
      <c r="C1816" s="5" t="str">
        <f>"146141"</f>
        <v>146141</v>
      </c>
      <c r="D1816" s="12" t="s">
        <v>657</v>
      </c>
      <c r="E1816" s="14" t="s">
        <v>66</v>
      </c>
      <c r="F1816" s="12" t="s">
        <v>3</v>
      </c>
      <c r="G1816" s="15">
        <v>2</v>
      </c>
      <c r="H1816" s="12" t="s">
        <v>658</v>
      </c>
      <c r="I1816" s="12" t="s">
        <v>70</v>
      </c>
      <c r="K1816" s="16">
        <v>9.1199999999999992</v>
      </c>
      <c r="L1816" s="16">
        <v>14.54</v>
      </c>
      <c r="M1816" s="16">
        <v>16.04</v>
      </c>
    </row>
    <row r="1817" spans="1:13" ht="33.75" outlineLevel="3" x14ac:dyDescent="0.2">
      <c r="B1817" s="4" t="str">
        <f>"0005320002"</f>
        <v>0005320002</v>
      </c>
      <c r="C1817" s="5" t="str">
        <f>"447026"</f>
        <v>447026</v>
      </c>
      <c r="D1817" s="12" t="s">
        <v>659</v>
      </c>
      <c r="E1817" s="14" t="s">
        <v>66</v>
      </c>
      <c r="F1817" s="12" t="s">
        <v>3</v>
      </c>
      <c r="G1817" s="15">
        <v>2</v>
      </c>
      <c r="H1817" s="12" t="s">
        <v>658</v>
      </c>
      <c r="I1817" s="12" t="s">
        <v>509</v>
      </c>
      <c r="K1817" s="16">
        <v>9.1199999999999992</v>
      </c>
      <c r="L1817" s="16">
        <v>14.54</v>
      </c>
      <c r="M1817" s="16">
        <v>16.04</v>
      </c>
    </row>
    <row r="1818" spans="1:13" ht="33.75" outlineLevel="3" x14ac:dyDescent="0.2">
      <c r="B1818" s="4" t="str">
        <f>"0005320003"</f>
        <v>0005320003</v>
      </c>
      <c r="C1818" s="5" t="str">
        <f>"146152"</f>
        <v>146152</v>
      </c>
      <c r="D1818" s="12" t="s">
        <v>657</v>
      </c>
      <c r="E1818" s="14" t="s">
        <v>66</v>
      </c>
      <c r="F1818" s="12" t="s">
        <v>3</v>
      </c>
      <c r="G1818" s="15">
        <v>3</v>
      </c>
      <c r="H1818" s="12" t="s">
        <v>658</v>
      </c>
      <c r="I1818" s="12" t="s">
        <v>70</v>
      </c>
      <c r="K1818" s="16">
        <v>9.7200000000000006</v>
      </c>
      <c r="L1818" s="16">
        <v>15.44</v>
      </c>
      <c r="M1818" s="16">
        <v>16.920000000000002</v>
      </c>
    </row>
    <row r="1819" spans="1:13" ht="33.75" outlineLevel="3" x14ac:dyDescent="0.2">
      <c r="B1819" s="4" t="str">
        <f>"0005320003"</f>
        <v>0005320003</v>
      </c>
      <c r="C1819" s="5" t="str">
        <f>"447176"</f>
        <v>447176</v>
      </c>
      <c r="D1819" s="12" t="s">
        <v>659</v>
      </c>
      <c r="E1819" s="14" t="s">
        <v>66</v>
      </c>
      <c r="F1819" s="12" t="s">
        <v>3</v>
      </c>
      <c r="G1819" s="15">
        <v>3</v>
      </c>
      <c r="H1819" s="12" t="s">
        <v>658</v>
      </c>
      <c r="I1819" s="12" t="s">
        <v>509</v>
      </c>
      <c r="K1819" s="16">
        <v>9.7200000000000006</v>
      </c>
      <c r="L1819" s="16">
        <v>15.44</v>
      </c>
      <c r="M1819" s="16">
        <v>16.920000000000002</v>
      </c>
    </row>
    <row r="1820" spans="1:13" ht="33.75" outlineLevel="3" x14ac:dyDescent="0.2">
      <c r="B1820" s="4" t="str">
        <f>"0005320003"</f>
        <v>0005320003</v>
      </c>
      <c r="C1820" s="5" t="str">
        <f>"483474"</f>
        <v>483474</v>
      </c>
      <c r="D1820" s="12" t="s">
        <v>661</v>
      </c>
      <c r="E1820" s="14" t="s">
        <v>66</v>
      </c>
      <c r="F1820" s="12" t="s">
        <v>3</v>
      </c>
      <c r="G1820" s="15">
        <v>3</v>
      </c>
      <c r="H1820" s="12" t="s">
        <v>658</v>
      </c>
      <c r="I1820" s="12" t="s">
        <v>298</v>
      </c>
      <c r="K1820" s="16">
        <v>9.7200000000000006</v>
      </c>
      <c r="L1820" s="16">
        <v>15.44</v>
      </c>
      <c r="M1820" s="16">
        <v>16.920000000000002</v>
      </c>
    </row>
    <row r="1821" spans="1:13" ht="33.75" outlineLevel="3" x14ac:dyDescent="0.2">
      <c r="B1821" s="4" t="str">
        <f>"0005320003"</f>
        <v>0005320003</v>
      </c>
      <c r="C1821" s="5" t="str">
        <f>"029117"</f>
        <v>029117</v>
      </c>
      <c r="D1821" s="12" t="s">
        <v>660</v>
      </c>
      <c r="E1821" s="14" t="s">
        <v>66</v>
      </c>
      <c r="F1821" s="12" t="s">
        <v>3</v>
      </c>
      <c r="G1821" s="15">
        <v>3</v>
      </c>
      <c r="H1821" s="12" t="s">
        <v>658</v>
      </c>
      <c r="I1821" s="12" t="s">
        <v>60</v>
      </c>
      <c r="K1821" s="16">
        <v>9.6999999999999993</v>
      </c>
      <c r="L1821" s="16">
        <v>15.42</v>
      </c>
      <c r="M1821" s="16">
        <v>16.920000000000002</v>
      </c>
    </row>
    <row r="1822" spans="1:13" outlineLevel="2" x14ac:dyDescent="0.2"/>
    <row r="1823" spans="1:13" ht="33.75" outlineLevel="3" x14ac:dyDescent="0.2">
      <c r="B1823" s="4" t="str">
        <f>"0005400004"</f>
        <v>0005400004</v>
      </c>
      <c r="C1823" s="5" t="str">
        <f>"023797"</f>
        <v>023797</v>
      </c>
      <c r="D1823" s="12" t="s">
        <v>657</v>
      </c>
      <c r="E1823" s="14" t="s">
        <v>295</v>
      </c>
      <c r="F1823" s="12" t="s">
        <v>3</v>
      </c>
      <c r="G1823" s="15">
        <v>4</v>
      </c>
      <c r="H1823" s="12" t="s">
        <v>658</v>
      </c>
      <c r="I1823" s="12" t="s">
        <v>70</v>
      </c>
      <c r="K1823" s="16">
        <v>10.71</v>
      </c>
      <c r="L1823" s="16">
        <v>16.920000000000002</v>
      </c>
      <c r="M1823" s="16">
        <v>17.57</v>
      </c>
    </row>
    <row r="1824" spans="1:13" ht="33.75" outlineLevel="3" x14ac:dyDescent="0.2">
      <c r="B1824" s="4" t="str">
        <f>"0005400004"</f>
        <v>0005400004</v>
      </c>
      <c r="C1824" s="5" t="str">
        <f>"389452"</f>
        <v>389452</v>
      </c>
      <c r="D1824" s="12" t="s">
        <v>664</v>
      </c>
      <c r="E1824" s="14" t="s">
        <v>295</v>
      </c>
      <c r="F1824" s="12" t="s">
        <v>3</v>
      </c>
      <c r="G1824" s="15">
        <v>4</v>
      </c>
      <c r="H1824" s="12" t="s">
        <v>658</v>
      </c>
      <c r="I1824" s="12" t="s">
        <v>240</v>
      </c>
      <c r="K1824" s="16">
        <v>10.71</v>
      </c>
      <c r="L1824" s="16">
        <v>16.920000000000002</v>
      </c>
      <c r="M1824" s="16">
        <v>17.57</v>
      </c>
    </row>
    <row r="1825" spans="2:13" ht="33.75" outlineLevel="3" x14ac:dyDescent="0.2">
      <c r="B1825" s="4" t="str">
        <f>"0005400004"</f>
        <v>0005400004</v>
      </c>
      <c r="C1825" s="5" t="str">
        <f>"397213"</f>
        <v>397213</v>
      </c>
      <c r="D1825" s="12" t="s">
        <v>661</v>
      </c>
      <c r="E1825" s="14" t="s">
        <v>295</v>
      </c>
      <c r="F1825" s="12" t="s">
        <v>3</v>
      </c>
      <c r="G1825" s="15">
        <v>4</v>
      </c>
      <c r="H1825" s="12" t="s">
        <v>658</v>
      </c>
      <c r="I1825" s="12" t="s">
        <v>298</v>
      </c>
      <c r="K1825" s="16">
        <v>10.71</v>
      </c>
      <c r="L1825" s="16">
        <v>16.920000000000002</v>
      </c>
      <c r="M1825" s="16">
        <v>17.57</v>
      </c>
    </row>
    <row r="1826" spans="2:13" ht="33.75" outlineLevel="3" x14ac:dyDescent="0.2">
      <c r="B1826" s="4" t="str">
        <f>"0005400004"</f>
        <v>0005400004</v>
      </c>
      <c r="C1826" s="5" t="str">
        <f>"174899"</f>
        <v>174899</v>
      </c>
      <c r="D1826" s="12" t="s">
        <v>662</v>
      </c>
      <c r="E1826" s="14" t="s">
        <v>295</v>
      </c>
      <c r="F1826" s="12" t="s">
        <v>3</v>
      </c>
      <c r="G1826" s="15">
        <v>4</v>
      </c>
      <c r="H1826" s="12" t="s">
        <v>658</v>
      </c>
      <c r="I1826" s="12" t="s">
        <v>663</v>
      </c>
      <c r="K1826" s="16">
        <v>10.14</v>
      </c>
      <c r="L1826" s="16">
        <v>16.07</v>
      </c>
      <c r="M1826" s="16">
        <v>17.57</v>
      </c>
    </row>
    <row r="1827" spans="2:13" outlineLevel="2" x14ac:dyDescent="0.2"/>
    <row r="1828" spans="2:13" ht="33.75" outlineLevel="3" x14ac:dyDescent="0.2">
      <c r="B1828" s="4" t="str">
        <f t="shared" ref="B1828:B1834" si="68">"0005400006"</f>
        <v>0005400006</v>
      </c>
      <c r="C1828" s="5" t="str">
        <f>"370079"</f>
        <v>370079</v>
      </c>
      <c r="D1828" s="12" t="s">
        <v>665</v>
      </c>
      <c r="E1828" s="14" t="s">
        <v>295</v>
      </c>
      <c r="F1828" s="12" t="s">
        <v>3</v>
      </c>
      <c r="G1828" s="15">
        <v>6</v>
      </c>
      <c r="H1828" s="12" t="s">
        <v>658</v>
      </c>
      <c r="I1828" s="12" t="s">
        <v>58</v>
      </c>
      <c r="J1828" s="2" t="s">
        <v>1400</v>
      </c>
      <c r="K1828" s="16" t="s">
        <v>1401</v>
      </c>
      <c r="L1828" s="16" t="s">
        <v>1401</v>
      </c>
      <c r="M1828" s="16">
        <v>13.47</v>
      </c>
    </row>
    <row r="1829" spans="2:13" ht="33.75" outlineLevel="3" x14ac:dyDescent="0.2">
      <c r="B1829" s="4" t="str">
        <f t="shared" si="68"/>
        <v>0005400006</v>
      </c>
      <c r="C1829" s="5" t="str">
        <f>"023745"</f>
        <v>023745</v>
      </c>
      <c r="D1829" s="12" t="s">
        <v>657</v>
      </c>
      <c r="E1829" s="14" t="s">
        <v>295</v>
      </c>
      <c r="F1829" s="12" t="s">
        <v>3</v>
      </c>
      <c r="G1829" s="15">
        <v>6</v>
      </c>
      <c r="H1829" s="12" t="s">
        <v>658</v>
      </c>
      <c r="I1829" s="12" t="s">
        <v>70</v>
      </c>
      <c r="K1829" s="16">
        <v>7.54</v>
      </c>
      <c r="L1829" s="16">
        <v>12.02</v>
      </c>
      <c r="M1829" s="16">
        <v>13.47</v>
      </c>
    </row>
    <row r="1830" spans="2:13" ht="33.75" outlineLevel="3" x14ac:dyDescent="0.2">
      <c r="B1830" s="4" t="str">
        <f t="shared" si="68"/>
        <v>0005400006</v>
      </c>
      <c r="C1830" s="5" t="str">
        <f>"389460"</f>
        <v>389460</v>
      </c>
      <c r="D1830" s="12" t="s">
        <v>664</v>
      </c>
      <c r="E1830" s="14" t="s">
        <v>295</v>
      </c>
      <c r="F1830" s="12" t="s">
        <v>3</v>
      </c>
      <c r="G1830" s="15">
        <v>6</v>
      </c>
      <c r="H1830" s="12" t="s">
        <v>658</v>
      </c>
      <c r="I1830" s="12" t="s">
        <v>240</v>
      </c>
      <c r="K1830" s="16">
        <v>7.54</v>
      </c>
      <c r="L1830" s="16">
        <v>12.02</v>
      </c>
      <c r="M1830" s="16">
        <v>13.47</v>
      </c>
    </row>
    <row r="1831" spans="2:13" ht="33.75" outlineLevel="3" x14ac:dyDescent="0.2">
      <c r="B1831" s="4" t="str">
        <f t="shared" si="68"/>
        <v>0005400006</v>
      </c>
      <c r="C1831" s="5" t="str">
        <f>"484664"</f>
        <v>484664</v>
      </c>
      <c r="D1831" s="12" t="s">
        <v>662</v>
      </c>
      <c r="E1831" s="14" t="s">
        <v>295</v>
      </c>
      <c r="F1831" s="12" t="s">
        <v>3</v>
      </c>
      <c r="G1831" s="15">
        <v>6</v>
      </c>
      <c r="H1831" s="12" t="s">
        <v>658</v>
      </c>
      <c r="I1831" s="12" t="s">
        <v>663</v>
      </c>
      <c r="K1831" s="16">
        <v>7.54</v>
      </c>
      <c r="L1831" s="16">
        <v>12.02</v>
      </c>
      <c r="M1831" s="16">
        <v>13.47</v>
      </c>
    </row>
    <row r="1832" spans="2:13" ht="33.75" outlineLevel="3" x14ac:dyDescent="0.2">
      <c r="B1832" s="4" t="str">
        <f t="shared" si="68"/>
        <v>0005400006</v>
      </c>
      <c r="C1832" s="5" t="str">
        <f>"518045"</f>
        <v>518045</v>
      </c>
      <c r="D1832" s="12" t="s">
        <v>659</v>
      </c>
      <c r="E1832" s="14" t="s">
        <v>295</v>
      </c>
      <c r="F1832" s="12" t="s">
        <v>3</v>
      </c>
      <c r="G1832" s="15">
        <v>6</v>
      </c>
      <c r="H1832" s="12" t="s">
        <v>658</v>
      </c>
      <c r="I1832" s="12" t="s">
        <v>509</v>
      </c>
      <c r="K1832" s="16">
        <v>7.54</v>
      </c>
      <c r="L1832" s="16">
        <v>12.02</v>
      </c>
      <c r="M1832" s="16">
        <v>13.47</v>
      </c>
    </row>
    <row r="1833" spans="2:13" ht="33.75" outlineLevel="3" x14ac:dyDescent="0.2">
      <c r="B1833" s="4" t="str">
        <f t="shared" si="68"/>
        <v>0005400006</v>
      </c>
      <c r="C1833" s="5" t="str">
        <f>"597734"</f>
        <v>597734</v>
      </c>
      <c r="D1833" s="12" t="s">
        <v>661</v>
      </c>
      <c r="E1833" s="14" t="s">
        <v>295</v>
      </c>
      <c r="F1833" s="12" t="s">
        <v>3</v>
      </c>
      <c r="G1833" s="15">
        <v>6</v>
      </c>
      <c r="H1833" s="12" t="s">
        <v>658</v>
      </c>
      <c r="I1833" s="12" t="s">
        <v>298</v>
      </c>
      <c r="K1833" s="16">
        <v>7.54</v>
      </c>
      <c r="L1833" s="16">
        <v>12.02</v>
      </c>
      <c r="M1833" s="16">
        <v>13.47</v>
      </c>
    </row>
    <row r="1834" spans="2:13" ht="33.75" outlineLevel="3" x14ac:dyDescent="0.2">
      <c r="B1834" s="4" t="str">
        <f t="shared" si="68"/>
        <v>0005400006</v>
      </c>
      <c r="C1834" s="5" t="str">
        <f>"029105"</f>
        <v>029105</v>
      </c>
      <c r="D1834" s="12" t="s">
        <v>660</v>
      </c>
      <c r="E1834" s="14" t="s">
        <v>295</v>
      </c>
      <c r="F1834" s="12" t="s">
        <v>3</v>
      </c>
      <c r="G1834" s="15">
        <v>6</v>
      </c>
      <c r="H1834" s="12" t="s">
        <v>658</v>
      </c>
      <c r="I1834" s="12" t="s">
        <v>60</v>
      </c>
      <c r="K1834" s="16">
        <v>7.5</v>
      </c>
      <c r="L1834" s="16">
        <v>11.97</v>
      </c>
      <c r="M1834" s="16">
        <v>13.47</v>
      </c>
    </row>
    <row r="1835" spans="2:13" outlineLevel="2" x14ac:dyDescent="0.2"/>
    <row r="1836" spans="2:13" ht="33.75" outlineLevel="3" x14ac:dyDescent="0.2">
      <c r="B1836" s="4" t="str">
        <f>"0005610015"</f>
        <v>0005610015</v>
      </c>
      <c r="C1836" s="5" t="str">
        <f>"039776"</f>
        <v>039776</v>
      </c>
      <c r="D1836" s="12" t="s">
        <v>664</v>
      </c>
      <c r="E1836" s="14" t="s">
        <v>651</v>
      </c>
      <c r="F1836" s="12" t="s">
        <v>251</v>
      </c>
      <c r="G1836" s="15" t="s">
        <v>676</v>
      </c>
      <c r="H1836" s="12" t="s">
        <v>658</v>
      </c>
      <c r="I1836" s="12" t="s">
        <v>240</v>
      </c>
      <c r="K1836" s="16">
        <v>4.47</v>
      </c>
      <c r="L1836" s="16">
        <v>7.13</v>
      </c>
      <c r="M1836" s="16">
        <v>7.11</v>
      </c>
    </row>
    <row r="1837" spans="2:13" ht="33.75" outlineLevel="3" x14ac:dyDescent="0.2">
      <c r="B1837" s="4" t="str">
        <f>"0005610015"</f>
        <v>0005610015</v>
      </c>
      <c r="C1837" s="5" t="str">
        <f>"062535"</f>
        <v>062535</v>
      </c>
      <c r="D1837" s="12" t="s">
        <v>677</v>
      </c>
      <c r="E1837" s="14" t="s">
        <v>651</v>
      </c>
      <c r="F1837" s="12" t="s">
        <v>251</v>
      </c>
      <c r="G1837" s="15" t="s">
        <v>676</v>
      </c>
      <c r="H1837" s="12" t="s">
        <v>658</v>
      </c>
      <c r="I1837" s="12" t="s">
        <v>11</v>
      </c>
      <c r="K1837" s="16">
        <v>4.38</v>
      </c>
      <c r="L1837" s="16">
        <v>6.99</v>
      </c>
      <c r="M1837" s="16">
        <v>7.11</v>
      </c>
    </row>
    <row r="1838" spans="2:13" ht="33.75" outlineLevel="3" x14ac:dyDescent="0.2">
      <c r="B1838" s="4" t="str">
        <f>"0005610015"</f>
        <v>0005610015</v>
      </c>
      <c r="C1838" s="5" t="str">
        <f>"089478"</f>
        <v>089478</v>
      </c>
      <c r="D1838" s="12" t="s">
        <v>657</v>
      </c>
      <c r="E1838" s="14" t="s">
        <v>651</v>
      </c>
      <c r="F1838" s="12" t="s">
        <v>251</v>
      </c>
      <c r="G1838" s="15" t="s">
        <v>676</v>
      </c>
      <c r="H1838" s="12" t="s">
        <v>658</v>
      </c>
      <c r="I1838" s="12" t="s">
        <v>70</v>
      </c>
      <c r="K1838" s="16">
        <v>3.52</v>
      </c>
      <c r="L1838" s="16">
        <v>5.61</v>
      </c>
      <c r="M1838" s="16">
        <v>7.11</v>
      </c>
    </row>
    <row r="1839" spans="2:13" outlineLevel="2" x14ac:dyDescent="0.2"/>
    <row r="1840" spans="2:13" ht="33.75" outlineLevel="3" x14ac:dyDescent="0.2">
      <c r="B1840" s="4" t="str">
        <f>"0005610225"</f>
        <v>0005610225</v>
      </c>
      <c r="C1840" s="5" t="str">
        <f>"039784"</f>
        <v>039784</v>
      </c>
      <c r="D1840" s="12" t="s">
        <v>664</v>
      </c>
      <c r="E1840" s="14" t="s">
        <v>651</v>
      </c>
      <c r="F1840" s="12" t="s">
        <v>251</v>
      </c>
      <c r="G1840" s="15" t="s">
        <v>678</v>
      </c>
      <c r="H1840" s="12" t="s">
        <v>658</v>
      </c>
      <c r="I1840" s="12" t="s">
        <v>240</v>
      </c>
      <c r="K1840" s="16">
        <v>6.1</v>
      </c>
      <c r="L1840" s="16">
        <v>9.74</v>
      </c>
      <c r="M1840" s="16">
        <v>9.5399999999999991</v>
      </c>
    </row>
    <row r="1841" spans="1:13" ht="33.75" outlineLevel="3" x14ac:dyDescent="0.2">
      <c r="B1841" s="4" t="str">
        <f>"0005610225"</f>
        <v>0005610225</v>
      </c>
      <c r="C1841" s="5" t="str">
        <f>"089487"</f>
        <v>089487</v>
      </c>
      <c r="D1841" s="12" t="s">
        <v>657</v>
      </c>
      <c r="E1841" s="14" t="s">
        <v>651</v>
      </c>
      <c r="F1841" s="12" t="s">
        <v>251</v>
      </c>
      <c r="G1841" s="15" t="s">
        <v>678</v>
      </c>
      <c r="H1841" s="12" t="s">
        <v>658</v>
      </c>
      <c r="I1841" s="12" t="s">
        <v>70</v>
      </c>
      <c r="K1841" s="16">
        <v>5.16</v>
      </c>
      <c r="L1841" s="16">
        <v>8.23</v>
      </c>
      <c r="M1841" s="16">
        <v>9.5399999999999991</v>
      </c>
    </row>
    <row r="1842" spans="1:13" ht="33.75" outlineLevel="3" x14ac:dyDescent="0.2">
      <c r="B1842" s="4" t="str">
        <f>"0005610225"</f>
        <v>0005610225</v>
      </c>
      <c r="C1842" s="5" t="str">
        <f>"062546"</f>
        <v>062546</v>
      </c>
      <c r="D1842" s="12" t="s">
        <v>677</v>
      </c>
      <c r="E1842" s="14" t="s">
        <v>651</v>
      </c>
      <c r="F1842" s="12" t="s">
        <v>251</v>
      </c>
      <c r="G1842" s="15" t="s">
        <v>678</v>
      </c>
      <c r="H1842" s="12" t="s">
        <v>658</v>
      </c>
      <c r="I1842" s="12" t="s">
        <v>11</v>
      </c>
      <c r="K1842" s="16">
        <v>5.04</v>
      </c>
      <c r="L1842" s="16">
        <v>8.0399999999999991</v>
      </c>
      <c r="M1842" s="16">
        <v>9.5399999999999991</v>
      </c>
    </row>
    <row r="1843" spans="1:13" outlineLevel="1" x14ac:dyDescent="0.2">
      <c r="A1843" s="3"/>
    </row>
    <row r="1844" spans="1:13" outlineLevel="2" x14ac:dyDescent="0.2">
      <c r="A1844" s="3" t="s">
        <v>1500</v>
      </c>
    </row>
    <row r="1845" spans="1:13" ht="33.75" outlineLevel="3" x14ac:dyDescent="0.2">
      <c r="B1845" s="4" t="str">
        <f>"0002330016"</f>
        <v>0002330016</v>
      </c>
      <c r="C1845" s="5" t="str">
        <f>"071072"</f>
        <v>071072</v>
      </c>
      <c r="D1845" s="12" t="s">
        <v>313</v>
      </c>
      <c r="E1845" s="14" t="s">
        <v>12</v>
      </c>
      <c r="F1845" s="12" t="s">
        <v>3</v>
      </c>
      <c r="G1845" s="15">
        <v>16</v>
      </c>
      <c r="H1845" s="12" t="s">
        <v>314</v>
      </c>
      <c r="I1845" s="12" t="s">
        <v>315</v>
      </c>
      <c r="K1845" s="16">
        <v>7.2</v>
      </c>
      <c r="L1845" s="16">
        <v>11.48</v>
      </c>
      <c r="M1845" s="16">
        <v>12.98</v>
      </c>
    </row>
    <row r="1846" spans="1:13" outlineLevel="2" x14ac:dyDescent="0.2"/>
    <row r="1847" spans="1:13" outlineLevel="3" x14ac:dyDescent="0.2">
      <c r="B1847" s="4" t="str">
        <f>"0002330020"</f>
        <v>0002330020</v>
      </c>
      <c r="C1847" s="5" t="str">
        <f>"496353"</f>
        <v>496353</v>
      </c>
      <c r="D1847" s="12" t="s">
        <v>316</v>
      </c>
      <c r="E1847" s="14" t="s">
        <v>12</v>
      </c>
      <c r="F1847" s="12" t="s">
        <v>216</v>
      </c>
      <c r="G1847" s="15">
        <v>20</v>
      </c>
      <c r="H1847" s="12" t="s">
        <v>314</v>
      </c>
      <c r="I1847" s="12" t="s">
        <v>58</v>
      </c>
      <c r="K1847" s="16">
        <v>15.54</v>
      </c>
      <c r="L1847" s="16">
        <v>24.09</v>
      </c>
      <c r="M1847" s="16">
        <v>25.59</v>
      </c>
    </row>
    <row r="1848" spans="1:13" outlineLevel="3" x14ac:dyDescent="0.2">
      <c r="B1848" s="4" t="str">
        <f>"0002330020"</f>
        <v>0002330020</v>
      </c>
      <c r="C1848" s="5" t="str">
        <f>"588574"</f>
        <v>588574</v>
      </c>
      <c r="D1848" s="12" t="s">
        <v>317</v>
      </c>
      <c r="E1848" s="14" t="s">
        <v>12</v>
      </c>
      <c r="F1848" s="12" t="s">
        <v>318</v>
      </c>
      <c r="G1848" s="15">
        <v>20</v>
      </c>
      <c r="H1848" s="12" t="s">
        <v>314</v>
      </c>
      <c r="I1848" s="12" t="s">
        <v>240</v>
      </c>
      <c r="K1848" s="16">
        <v>15.54</v>
      </c>
      <c r="L1848" s="16">
        <v>24.09</v>
      </c>
      <c r="M1848" s="16">
        <v>25.59</v>
      </c>
    </row>
    <row r="1849" spans="1:13" outlineLevel="2" x14ac:dyDescent="0.2"/>
    <row r="1850" spans="1:13" ht="33.75" outlineLevel="3" x14ac:dyDescent="0.2">
      <c r="B1850" s="4" t="str">
        <f>"0002330030"</f>
        <v>0002330030</v>
      </c>
      <c r="C1850" s="5" t="str">
        <f>"037789"</f>
        <v>037789</v>
      </c>
      <c r="D1850" s="12" t="s">
        <v>313</v>
      </c>
      <c r="E1850" s="14" t="s">
        <v>12</v>
      </c>
      <c r="F1850" s="12" t="s">
        <v>3</v>
      </c>
      <c r="G1850" s="15">
        <v>30</v>
      </c>
      <c r="H1850" s="12" t="s">
        <v>314</v>
      </c>
      <c r="I1850" s="12" t="s">
        <v>315</v>
      </c>
      <c r="K1850" s="16">
        <v>10.5</v>
      </c>
      <c r="L1850" s="16">
        <v>16.61</v>
      </c>
      <c r="M1850" s="16">
        <v>18.11</v>
      </c>
    </row>
    <row r="1851" spans="1:13" outlineLevel="2" x14ac:dyDescent="0.2"/>
    <row r="1852" spans="1:13" outlineLevel="3" x14ac:dyDescent="0.2">
      <c r="B1852" s="4" t="str">
        <f>"0002330032"</f>
        <v>0002330032</v>
      </c>
      <c r="C1852" s="5" t="str">
        <f>"151852"</f>
        <v>151852</v>
      </c>
      <c r="D1852" s="12" t="s">
        <v>317</v>
      </c>
      <c r="E1852" s="14" t="s">
        <v>12</v>
      </c>
      <c r="F1852" s="12" t="s">
        <v>318</v>
      </c>
      <c r="G1852" s="15">
        <v>32</v>
      </c>
      <c r="H1852" s="12" t="s">
        <v>314</v>
      </c>
      <c r="I1852" s="12" t="s">
        <v>240</v>
      </c>
      <c r="K1852" s="16">
        <v>22.61</v>
      </c>
      <c r="L1852" s="16">
        <v>34.58</v>
      </c>
      <c r="M1852" s="16">
        <v>36.08</v>
      </c>
    </row>
    <row r="1853" spans="1:13" outlineLevel="3" x14ac:dyDescent="0.2">
      <c r="B1853" s="4" t="str">
        <f>"0002330032"</f>
        <v>0002330032</v>
      </c>
      <c r="C1853" s="5" t="str">
        <f>"516699"</f>
        <v>516699</v>
      </c>
      <c r="D1853" s="12" t="s">
        <v>316</v>
      </c>
      <c r="E1853" s="14" t="s">
        <v>12</v>
      </c>
      <c r="F1853" s="12" t="s">
        <v>216</v>
      </c>
      <c r="G1853" s="15">
        <v>32</v>
      </c>
      <c r="H1853" s="12" t="s">
        <v>314</v>
      </c>
      <c r="I1853" s="12" t="s">
        <v>58</v>
      </c>
      <c r="K1853" s="16">
        <v>22.61</v>
      </c>
      <c r="L1853" s="16">
        <v>34.58</v>
      </c>
      <c r="M1853" s="16">
        <v>36.08</v>
      </c>
    </row>
    <row r="1854" spans="1:13" outlineLevel="3" x14ac:dyDescent="0.2">
      <c r="B1854" s="4" t="str">
        <f>"0002330100"</f>
        <v>0002330100</v>
      </c>
      <c r="C1854" s="5" t="str">
        <f>"151860"</f>
        <v>151860</v>
      </c>
      <c r="D1854" s="12" t="s">
        <v>317</v>
      </c>
      <c r="E1854" s="14" t="s">
        <v>12</v>
      </c>
      <c r="F1854" s="12" t="s">
        <v>318</v>
      </c>
      <c r="G1854" s="15">
        <v>100</v>
      </c>
      <c r="H1854" s="12" t="s">
        <v>314</v>
      </c>
      <c r="I1854" s="12" t="s">
        <v>240</v>
      </c>
      <c r="K1854" s="16">
        <v>56.85</v>
      </c>
      <c r="L1854" s="16">
        <v>84.26</v>
      </c>
      <c r="M1854" s="16">
        <v>84.26</v>
      </c>
    </row>
    <row r="1855" spans="1:13" outlineLevel="3" x14ac:dyDescent="0.2">
      <c r="B1855" s="4" t="str">
        <f>"0002330100"</f>
        <v>0002330100</v>
      </c>
      <c r="C1855" s="5" t="str">
        <f>"090096"</f>
        <v>090096</v>
      </c>
      <c r="D1855" s="12" t="s">
        <v>319</v>
      </c>
      <c r="E1855" s="14" t="s">
        <v>12</v>
      </c>
      <c r="F1855" s="12" t="s">
        <v>216</v>
      </c>
      <c r="G1855" s="15">
        <v>100</v>
      </c>
      <c r="H1855" s="12" t="s">
        <v>314</v>
      </c>
      <c r="I1855" s="12" t="s">
        <v>70</v>
      </c>
      <c r="K1855" s="16">
        <v>56.84</v>
      </c>
      <c r="L1855" s="16">
        <v>84.25</v>
      </c>
      <c r="M1855" s="16">
        <v>84.26</v>
      </c>
    </row>
    <row r="1856" spans="1:13" ht="33.75" outlineLevel="3" x14ac:dyDescent="0.2">
      <c r="B1856" s="4" t="str">
        <f>"0002330100"</f>
        <v>0002330100</v>
      </c>
      <c r="C1856" s="5" t="str">
        <f>"440887"</f>
        <v>440887</v>
      </c>
      <c r="D1856" s="12" t="s">
        <v>313</v>
      </c>
      <c r="E1856" s="14" t="s">
        <v>12</v>
      </c>
      <c r="F1856" s="12" t="s">
        <v>3</v>
      </c>
      <c r="G1856" s="15">
        <v>100</v>
      </c>
      <c r="H1856" s="12" t="s">
        <v>314</v>
      </c>
      <c r="I1856" s="12" t="s">
        <v>315</v>
      </c>
      <c r="K1856" s="16">
        <v>55.39</v>
      </c>
      <c r="L1856" s="16">
        <v>82.26</v>
      </c>
      <c r="M1856" s="16">
        <v>84.26</v>
      </c>
    </row>
    <row r="1857" spans="1:13" outlineLevel="2" x14ac:dyDescent="0.2"/>
    <row r="1858" spans="1:13" outlineLevel="3" x14ac:dyDescent="0.2">
      <c r="B1858" s="4" t="str">
        <f>"0005330024"</f>
        <v>0005330024</v>
      </c>
      <c r="C1858" s="5" t="str">
        <f>"582412"</f>
        <v>582412</v>
      </c>
      <c r="D1858" s="12" t="s">
        <v>316</v>
      </c>
      <c r="E1858" s="14" t="s">
        <v>2</v>
      </c>
      <c r="F1858" s="12" t="s">
        <v>216</v>
      </c>
      <c r="G1858" s="15">
        <v>24</v>
      </c>
      <c r="H1858" s="12" t="s">
        <v>314</v>
      </c>
      <c r="I1858" s="12" t="s">
        <v>58</v>
      </c>
      <c r="K1858" s="16">
        <v>10.55</v>
      </c>
      <c r="L1858" s="16">
        <v>16.68</v>
      </c>
      <c r="M1858" s="16">
        <v>18.18</v>
      </c>
    </row>
    <row r="1859" spans="1:13" outlineLevel="3" x14ac:dyDescent="0.2">
      <c r="B1859" s="4" t="str">
        <f>"0005330024"</f>
        <v>0005330024</v>
      </c>
      <c r="C1859" s="5" t="str">
        <f>"597401"</f>
        <v>597401</v>
      </c>
      <c r="D1859" s="12" t="s">
        <v>317</v>
      </c>
      <c r="E1859" s="14" t="s">
        <v>2</v>
      </c>
      <c r="F1859" s="12" t="s">
        <v>318</v>
      </c>
      <c r="G1859" s="15">
        <v>24</v>
      </c>
      <c r="H1859" s="12" t="s">
        <v>314</v>
      </c>
      <c r="I1859" s="12" t="s">
        <v>240</v>
      </c>
      <c r="K1859" s="16">
        <v>10.55</v>
      </c>
      <c r="L1859" s="16">
        <v>16.68</v>
      </c>
      <c r="M1859" s="16">
        <v>18.18</v>
      </c>
    </row>
    <row r="1860" spans="1:13" outlineLevel="2" x14ac:dyDescent="0.2"/>
    <row r="1861" spans="1:13" outlineLevel="3" x14ac:dyDescent="0.2">
      <c r="B1861" s="4" t="str">
        <f>"0005330100"</f>
        <v>0005330100</v>
      </c>
      <c r="C1861" s="5" t="str">
        <f>"090069"</f>
        <v>090069</v>
      </c>
      <c r="D1861" s="12" t="s">
        <v>319</v>
      </c>
      <c r="E1861" s="14" t="s">
        <v>2</v>
      </c>
      <c r="F1861" s="12" t="s">
        <v>216</v>
      </c>
      <c r="G1861" s="15">
        <v>100</v>
      </c>
      <c r="H1861" s="12" t="s">
        <v>314</v>
      </c>
      <c r="I1861" s="12" t="s">
        <v>70</v>
      </c>
      <c r="K1861" s="16">
        <v>41.44</v>
      </c>
      <c r="L1861" s="16">
        <v>62.55</v>
      </c>
      <c r="M1861" s="16">
        <v>64.55</v>
      </c>
    </row>
    <row r="1862" spans="1:13" outlineLevel="3" x14ac:dyDescent="0.2">
      <c r="B1862" s="4" t="str">
        <f>"0005330100"</f>
        <v>0005330100</v>
      </c>
      <c r="C1862" s="5" t="str">
        <f>"464891"</f>
        <v>464891</v>
      </c>
      <c r="D1862" s="12" t="s">
        <v>317</v>
      </c>
      <c r="E1862" s="14" t="s">
        <v>2</v>
      </c>
      <c r="F1862" s="12" t="s">
        <v>318</v>
      </c>
      <c r="G1862" s="15">
        <v>100</v>
      </c>
      <c r="H1862" s="12" t="s">
        <v>314</v>
      </c>
      <c r="I1862" s="12" t="s">
        <v>240</v>
      </c>
      <c r="K1862" s="16">
        <v>41.44</v>
      </c>
      <c r="L1862" s="16">
        <v>62.55</v>
      </c>
      <c r="M1862" s="16">
        <v>64.55</v>
      </c>
    </row>
    <row r="1863" spans="1:13" outlineLevel="1" x14ac:dyDescent="0.2">
      <c r="A1863" s="3"/>
    </row>
    <row r="1864" spans="1:13" outlineLevel="2" x14ac:dyDescent="0.2">
      <c r="A1864" s="3" t="s">
        <v>1501</v>
      </c>
    </row>
    <row r="1865" spans="1:13" ht="33.75" outlineLevel="3" x14ac:dyDescent="0.2">
      <c r="B1865" s="4" t="str">
        <f>"0002340010"</f>
        <v>0002340010</v>
      </c>
      <c r="C1865" s="5" t="str">
        <f>"010519"</f>
        <v>010519</v>
      </c>
      <c r="D1865" s="12" t="s">
        <v>320</v>
      </c>
      <c r="E1865" s="14" t="s">
        <v>295</v>
      </c>
      <c r="F1865" s="12" t="s">
        <v>3</v>
      </c>
      <c r="G1865" s="15">
        <v>10</v>
      </c>
      <c r="H1865" s="12" t="s">
        <v>321</v>
      </c>
      <c r="I1865" s="12" t="s">
        <v>5</v>
      </c>
      <c r="K1865" s="16">
        <v>4.28</v>
      </c>
      <c r="L1865" s="16">
        <v>6.83</v>
      </c>
      <c r="M1865" s="16">
        <v>8.33</v>
      </c>
    </row>
    <row r="1866" spans="1:13" ht="33.75" outlineLevel="3" x14ac:dyDescent="0.2">
      <c r="B1866" s="4" t="str">
        <f>"0002340010"</f>
        <v>0002340010</v>
      </c>
      <c r="C1866" s="5" t="str">
        <f>"406044"</f>
        <v>406044</v>
      </c>
      <c r="D1866" s="12" t="s">
        <v>322</v>
      </c>
      <c r="E1866" s="14" t="s">
        <v>295</v>
      </c>
      <c r="F1866" s="12" t="s">
        <v>3</v>
      </c>
      <c r="G1866" s="15">
        <v>10</v>
      </c>
      <c r="H1866" s="12" t="s">
        <v>321</v>
      </c>
      <c r="I1866" s="12" t="s">
        <v>58</v>
      </c>
      <c r="K1866" s="16">
        <v>4.28</v>
      </c>
      <c r="L1866" s="16">
        <v>6.83</v>
      </c>
      <c r="M1866" s="16">
        <v>8.33</v>
      </c>
    </row>
    <row r="1867" spans="1:13" outlineLevel="2" x14ac:dyDescent="0.2"/>
    <row r="1868" spans="1:13" ht="33.75" outlineLevel="3" x14ac:dyDescent="0.2">
      <c r="B1868" s="4" t="str">
        <f>"0002340020"</f>
        <v>0002340020</v>
      </c>
      <c r="C1868" s="5" t="str">
        <f>"564378"</f>
        <v>564378</v>
      </c>
      <c r="D1868" s="12" t="s">
        <v>322</v>
      </c>
      <c r="E1868" s="14" t="s">
        <v>295</v>
      </c>
      <c r="F1868" s="12" t="s">
        <v>3</v>
      </c>
      <c r="G1868" s="15">
        <v>20</v>
      </c>
      <c r="H1868" s="12" t="s">
        <v>321</v>
      </c>
      <c r="I1868" s="12" t="s">
        <v>58</v>
      </c>
      <c r="K1868" s="16">
        <v>8.39</v>
      </c>
      <c r="L1868" s="16">
        <v>13.39</v>
      </c>
      <c r="M1868" s="16">
        <v>13.72</v>
      </c>
    </row>
    <row r="1869" spans="1:13" ht="33.75" outlineLevel="3" x14ac:dyDescent="0.2">
      <c r="B1869" s="4" t="str">
        <f>"0002340020"</f>
        <v>0002340020</v>
      </c>
      <c r="C1869" s="5" t="str">
        <f>"010602"</f>
        <v>010602</v>
      </c>
      <c r="D1869" s="12" t="s">
        <v>320</v>
      </c>
      <c r="E1869" s="14" t="s">
        <v>295</v>
      </c>
      <c r="F1869" s="12" t="s">
        <v>3</v>
      </c>
      <c r="G1869" s="15">
        <v>20</v>
      </c>
      <c r="H1869" s="12" t="s">
        <v>321</v>
      </c>
      <c r="I1869" s="12" t="s">
        <v>5</v>
      </c>
      <c r="K1869" s="16">
        <v>7.66</v>
      </c>
      <c r="L1869" s="16">
        <v>12.22</v>
      </c>
      <c r="M1869" s="16">
        <v>13.72</v>
      </c>
    </row>
    <row r="1870" spans="1:13" ht="33.75" outlineLevel="3" x14ac:dyDescent="0.2">
      <c r="B1870" s="4" t="str">
        <f>"0002340020"</f>
        <v>0002340020</v>
      </c>
      <c r="C1870" s="5" t="str">
        <f>"571564"</f>
        <v>571564</v>
      </c>
      <c r="D1870" s="12" t="s">
        <v>323</v>
      </c>
      <c r="E1870" s="14" t="s">
        <v>295</v>
      </c>
      <c r="F1870" s="12" t="s">
        <v>3</v>
      </c>
      <c r="G1870" s="15">
        <v>20</v>
      </c>
      <c r="H1870" s="12" t="s">
        <v>321</v>
      </c>
      <c r="I1870" s="12" t="s">
        <v>62</v>
      </c>
      <c r="K1870" s="16">
        <v>7.66</v>
      </c>
      <c r="L1870" s="16">
        <v>12.22</v>
      </c>
      <c r="M1870" s="16">
        <v>13.72</v>
      </c>
    </row>
    <row r="1871" spans="1:13" outlineLevel="2" x14ac:dyDescent="0.2"/>
    <row r="1872" spans="1:13" ht="33.75" outlineLevel="3" x14ac:dyDescent="0.2">
      <c r="B1872" s="4" t="str">
        <f>"0002350010"</f>
        <v>0002350010</v>
      </c>
      <c r="C1872" s="5" t="str">
        <f>"110921"</f>
        <v>110921</v>
      </c>
      <c r="D1872" s="12" t="s">
        <v>322</v>
      </c>
      <c r="E1872" s="14" t="s">
        <v>66</v>
      </c>
      <c r="F1872" s="12" t="s">
        <v>3</v>
      </c>
      <c r="G1872" s="15">
        <v>10</v>
      </c>
      <c r="H1872" s="12" t="s">
        <v>321</v>
      </c>
      <c r="I1872" s="12" t="s">
        <v>58</v>
      </c>
      <c r="K1872" s="16">
        <v>11.07</v>
      </c>
      <c r="L1872" s="16">
        <v>17.45</v>
      </c>
      <c r="M1872" s="16">
        <v>18.3</v>
      </c>
    </row>
    <row r="1873" spans="1:13" ht="33.75" outlineLevel="3" x14ac:dyDescent="0.2">
      <c r="B1873" s="4" t="str">
        <f>"0002350010"</f>
        <v>0002350010</v>
      </c>
      <c r="C1873" s="5" t="str">
        <f>"010624"</f>
        <v>010624</v>
      </c>
      <c r="D1873" s="12" t="s">
        <v>320</v>
      </c>
      <c r="E1873" s="14" t="s">
        <v>66</v>
      </c>
      <c r="F1873" s="12" t="s">
        <v>3</v>
      </c>
      <c r="G1873" s="15">
        <v>10</v>
      </c>
      <c r="H1873" s="12" t="s">
        <v>321</v>
      </c>
      <c r="I1873" s="12" t="s">
        <v>5</v>
      </c>
      <c r="K1873" s="16">
        <v>10.63</v>
      </c>
      <c r="L1873" s="16">
        <v>16.8</v>
      </c>
      <c r="M1873" s="16">
        <v>18.3</v>
      </c>
    </row>
    <row r="1874" spans="1:13" ht="33.75" outlineLevel="3" x14ac:dyDescent="0.2">
      <c r="B1874" s="4" t="str">
        <f>"0002350010"</f>
        <v>0002350010</v>
      </c>
      <c r="C1874" s="5" t="str">
        <f>"474784"</f>
        <v>474784</v>
      </c>
      <c r="D1874" s="12" t="s">
        <v>323</v>
      </c>
      <c r="E1874" s="14" t="s">
        <v>66</v>
      </c>
      <c r="F1874" s="12" t="s">
        <v>3</v>
      </c>
      <c r="G1874" s="15">
        <v>10</v>
      </c>
      <c r="H1874" s="12" t="s">
        <v>321</v>
      </c>
      <c r="I1874" s="12" t="s">
        <v>62</v>
      </c>
      <c r="K1874" s="16">
        <v>10.63</v>
      </c>
      <c r="L1874" s="16">
        <v>16.8</v>
      </c>
      <c r="M1874" s="16">
        <v>18.3</v>
      </c>
    </row>
    <row r="1875" spans="1:13" outlineLevel="2" x14ac:dyDescent="0.2"/>
    <row r="1876" spans="1:13" ht="33.75" outlineLevel="3" x14ac:dyDescent="0.2">
      <c r="B1876" s="4" t="str">
        <f>"0002350020"</f>
        <v>0002350020</v>
      </c>
      <c r="C1876" s="5" t="str">
        <f>"195065"</f>
        <v>195065</v>
      </c>
      <c r="D1876" s="12" t="s">
        <v>324</v>
      </c>
      <c r="E1876" s="14" t="s">
        <v>66</v>
      </c>
      <c r="F1876" s="12" t="s">
        <v>3</v>
      </c>
      <c r="G1876" s="15">
        <v>20</v>
      </c>
      <c r="H1876" s="12" t="s">
        <v>321</v>
      </c>
      <c r="I1876" s="12" t="s">
        <v>325</v>
      </c>
      <c r="K1876" s="16">
        <v>16.149999999999999</v>
      </c>
      <c r="L1876" s="16">
        <v>24.99</v>
      </c>
      <c r="M1876" s="16">
        <v>24.52</v>
      </c>
    </row>
    <row r="1877" spans="1:13" ht="33.75" outlineLevel="3" x14ac:dyDescent="0.2">
      <c r="B1877" s="4" t="str">
        <f>"0002350020"</f>
        <v>0002350020</v>
      </c>
      <c r="C1877" s="5" t="str">
        <f>"107035"</f>
        <v>107035</v>
      </c>
      <c r="D1877" s="12" t="s">
        <v>322</v>
      </c>
      <c r="E1877" s="14" t="s">
        <v>66</v>
      </c>
      <c r="F1877" s="12" t="s">
        <v>3</v>
      </c>
      <c r="G1877" s="15">
        <v>20</v>
      </c>
      <c r="H1877" s="12" t="s">
        <v>321</v>
      </c>
      <c r="I1877" s="12" t="s">
        <v>58</v>
      </c>
      <c r="K1877" s="16">
        <v>15.83</v>
      </c>
      <c r="L1877" s="16">
        <v>24.52</v>
      </c>
      <c r="M1877" s="16">
        <v>24.52</v>
      </c>
    </row>
    <row r="1878" spans="1:13" ht="33.75" outlineLevel="3" x14ac:dyDescent="0.2">
      <c r="B1878" s="4" t="str">
        <f>"0002350020"</f>
        <v>0002350020</v>
      </c>
      <c r="C1878" s="5" t="str">
        <f>"010630"</f>
        <v>010630</v>
      </c>
      <c r="D1878" s="12" t="s">
        <v>320</v>
      </c>
      <c r="E1878" s="14" t="s">
        <v>66</v>
      </c>
      <c r="F1878" s="12" t="s">
        <v>3</v>
      </c>
      <c r="G1878" s="15">
        <v>20</v>
      </c>
      <c r="H1878" s="12" t="s">
        <v>321</v>
      </c>
      <c r="I1878" s="12" t="s">
        <v>5</v>
      </c>
      <c r="K1878" s="16">
        <v>14.82</v>
      </c>
      <c r="L1878" s="16">
        <v>23.02</v>
      </c>
      <c r="M1878" s="16">
        <v>24.52</v>
      </c>
    </row>
    <row r="1879" spans="1:13" ht="33.75" outlineLevel="3" x14ac:dyDescent="0.2">
      <c r="B1879" s="4" t="str">
        <f>"0002350020"</f>
        <v>0002350020</v>
      </c>
      <c r="C1879" s="5" t="str">
        <f>"499486"</f>
        <v>499486</v>
      </c>
      <c r="D1879" s="12" t="s">
        <v>323</v>
      </c>
      <c r="E1879" s="14" t="s">
        <v>66</v>
      </c>
      <c r="F1879" s="12" t="s">
        <v>3</v>
      </c>
      <c r="G1879" s="15">
        <v>20</v>
      </c>
      <c r="H1879" s="12" t="s">
        <v>321</v>
      </c>
      <c r="I1879" s="12" t="s">
        <v>62</v>
      </c>
      <c r="K1879" s="16">
        <v>14.82</v>
      </c>
      <c r="L1879" s="16">
        <v>23.02</v>
      </c>
      <c r="M1879" s="16">
        <v>24.52</v>
      </c>
    </row>
    <row r="1880" spans="1:13" outlineLevel="2" x14ac:dyDescent="0.2"/>
    <row r="1881" spans="1:13" ht="33.75" outlineLevel="3" x14ac:dyDescent="0.2">
      <c r="B1881" s="4" t="str">
        <f>"0002360020"</f>
        <v>0002360020</v>
      </c>
      <c r="C1881" s="5" t="str">
        <f>"010646"</f>
        <v>010646</v>
      </c>
      <c r="D1881" s="12" t="s">
        <v>320</v>
      </c>
      <c r="E1881" s="14" t="s">
        <v>263</v>
      </c>
      <c r="F1881" s="12" t="s">
        <v>3</v>
      </c>
      <c r="G1881" s="15">
        <v>20</v>
      </c>
      <c r="H1881" s="12" t="s">
        <v>321</v>
      </c>
      <c r="I1881" s="12" t="s">
        <v>5</v>
      </c>
      <c r="K1881" s="16">
        <v>21.96</v>
      </c>
      <c r="L1881" s="16">
        <v>33.630000000000003</v>
      </c>
      <c r="M1881" s="16">
        <v>35.130000000000003</v>
      </c>
    </row>
    <row r="1882" spans="1:13" ht="33.75" outlineLevel="3" x14ac:dyDescent="0.2">
      <c r="B1882" s="4" t="str">
        <f>"0002360020"</f>
        <v>0002360020</v>
      </c>
      <c r="C1882" s="5" t="str">
        <f>"173339"</f>
        <v>173339</v>
      </c>
      <c r="D1882" s="12" t="s">
        <v>323</v>
      </c>
      <c r="E1882" s="14" t="s">
        <v>263</v>
      </c>
      <c r="F1882" s="12" t="s">
        <v>3</v>
      </c>
      <c r="G1882" s="15">
        <v>20</v>
      </c>
      <c r="H1882" s="12" t="s">
        <v>321</v>
      </c>
      <c r="I1882" s="12" t="s">
        <v>62</v>
      </c>
      <c r="K1882" s="16">
        <v>21.96</v>
      </c>
      <c r="L1882" s="16">
        <v>33.630000000000003</v>
      </c>
      <c r="M1882" s="16">
        <v>35.130000000000003</v>
      </c>
    </row>
    <row r="1883" spans="1:13" outlineLevel="1" x14ac:dyDescent="0.2">
      <c r="A1883" s="3"/>
    </row>
    <row r="1884" spans="1:13" outlineLevel="2" x14ac:dyDescent="0.2">
      <c r="A1884" s="3" t="s">
        <v>1502</v>
      </c>
    </row>
    <row r="1885" spans="1:13" ht="33.75" outlineLevel="3" x14ac:dyDescent="0.2">
      <c r="B1885" s="4" t="str">
        <f>"0008960007"</f>
        <v>0008960007</v>
      </c>
      <c r="C1885" s="5" t="str">
        <f>"510564"</f>
        <v>510564</v>
      </c>
      <c r="D1885" s="12" t="s">
        <v>944</v>
      </c>
      <c r="E1885" s="14" t="s">
        <v>66</v>
      </c>
      <c r="F1885" s="12" t="s">
        <v>3</v>
      </c>
      <c r="G1885" s="15">
        <v>7</v>
      </c>
      <c r="H1885" s="12" t="s">
        <v>942</v>
      </c>
      <c r="I1885" s="12" t="s">
        <v>187</v>
      </c>
      <c r="K1885" s="16">
        <v>13.04</v>
      </c>
      <c r="L1885" s="16">
        <v>20.37</v>
      </c>
      <c r="M1885" s="16">
        <v>20.37</v>
      </c>
    </row>
    <row r="1886" spans="1:13" ht="33.75" outlineLevel="3" x14ac:dyDescent="0.2">
      <c r="B1886" s="4" t="str">
        <f>"0008960007"</f>
        <v>0008960007</v>
      </c>
      <c r="C1886" s="5" t="str">
        <f>"107362"</f>
        <v>107362</v>
      </c>
      <c r="D1886" s="12" t="s">
        <v>941</v>
      </c>
      <c r="E1886" s="14" t="s">
        <v>66</v>
      </c>
      <c r="F1886" s="12" t="s">
        <v>3</v>
      </c>
      <c r="G1886" s="15">
        <v>7</v>
      </c>
      <c r="H1886" s="12" t="s">
        <v>942</v>
      </c>
      <c r="I1886" s="12" t="s">
        <v>70</v>
      </c>
      <c r="J1886" s="2" t="s">
        <v>1400</v>
      </c>
      <c r="K1886" s="16">
        <v>12.02</v>
      </c>
      <c r="L1886" s="16">
        <v>18.87</v>
      </c>
      <c r="M1886" s="16">
        <v>20.37</v>
      </c>
    </row>
    <row r="1887" spans="1:13" ht="33.75" outlineLevel="3" x14ac:dyDescent="0.2">
      <c r="B1887" s="4" t="str">
        <f>"0008960007"</f>
        <v>0008960007</v>
      </c>
      <c r="C1887" s="5" t="str">
        <f>"105805"</f>
        <v>105805</v>
      </c>
      <c r="D1887" s="12" t="s">
        <v>943</v>
      </c>
      <c r="E1887" s="14" t="s">
        <v>66</v>
      </c>
      <c r="F1887" s="12" t="s">
        <v>3</v>
      </c>
      <c r="G1887" s="15">
        <v>7</v>
      </c>
      <c r="H1887" s="12" t="s">
        <v>942</v>
      </c>
      <c r="I1887" s="12" t="s">
        <v>28</v>
      </c>
      <c r="K1887" s="16">
        <v>12.02</v>
      </c>
      <c r="L1887" s="16">
        <v>18.87</v>
      </c>
      <c r="M1887" s="16">
        <v>20.37</v>
      </c>
    </row>
    <row r="1888" spans="1:13" outlineLevel="2" x14ac:dyDescent="0.2"/>
    <row r="1889" spans="1:13" ht="33.75" outlineLevel="3" x14ac:dyDescent="0.2">
      <c r="B1889" s="4" t="str">
        <f>"0008960010"</f>
        <v>0008960010</v>
      </c>
      <c r="C1889" s="5" t="str">
        <f>"076950"</f>
        <v>076950</v>
      </c>
      <c r="D1889" s="12" t="s">
        <v>944</v>
      </c>
      <c r="E1889" s="14" t="s">
        <v>66</v>
      </c>
      <c r="F1889" s="12" t="s">
        <v>3</v>
      </c>
      <c r="G1889" s="15">
        <v>10</v>
      </c>
      <c r="H1889" s="12" t="s">
        <v>942</v>
      </c>
      <c r="I1889" s="12" t="s">
        <v>187</v>
      </c>
      <c r="K1889" s="16">
        <v>17.170000000000002</v>
      </c>
      <c r="L1889" s="16">
        <v>26.51</v>
      </c>
      <c r="M1889" s="16">
        <v>28.01</v>
      </c>
    </row>
    <row r="1890" spans="1:13" ht="33.75" outlineLevel="3" x14ac:dyDescent="0.2">
      <c r="B1890" s="4" t="str">
        <f>"0008960010"</f>
        <v>0008960010</v>
      </c>
      <c r="C1890" s="5" t="str">
        <f>"375518"</f>
        <v>375518</v>
      </c>
      <c r="D1890" s="12" t="s">
        <v>945</v>
      </c>
      <c r="E1890" s="14" t="s">
        <v>66</v>
      </c>
      <c r="F1890" s="12" t="s">
        <v>3</v>
      </c>
      <c r="G1890" s="15">
        <v>10</v>
      </c>
      <c r="H1890" s="12" t="s">
        <v>942</v>
      </c>
      <c r="I1890" s="12" t="s">
        <v>30</v>
      </c>
      <c r="K1890" s="16">
        <v>17.170000000000002</v>
      </c>
      <c r="L1890" s="16">
        <v>26.51</v>
      </c>
      <c r="M1890" s="16">
        <v>28.01</v>
      </c>
    </row>
    <row r="1891" spans="1:13" ht="33.75" outlineLevel="3" x14ac:dyDescent="0.2">
      <c r="B1891" s="4" t="str">
        <f>"0008960010"</f>
        <v>0008960010</v>
      </c>
      <c r="C1891" s="5" t="str">
        <f>"378197"</f>
        <v>378197</v>
      </c>
      <c r="D1891" s="12" t="s">
        <v>943</v>
      </c>
      <c r="E1891" s="14" t="s">
        <v>66</v>
      </c>
      <c r="F1891" s="12" t="s">
        <v>3</v>
      </c>
      <c r="G1891" s="15">
        <v>10</v>
      </c>
      <c r="H1891" s="12" t="s">
        <v>942</v>
      </c>
      <c r="I1891" s="12" t="s">
        <v>28</v>
      </c>
      <c r="K1891" s="16">
        <v>17.170000000000002</v>
      </c>
      <c r="L1891" s="16">
        <v>26.51</v>
      </c>
      <c r="M1891" s="16">
        <v>28.01</v>
      </c>
    </row>
    <row r="1892" spans="1:13" ht="33.75" outlineLevel="3" x14ac:dyDescent="0.2">
      <c r="B1892" s="4" t="str">
        <f>"0008960010"</f>
        <v>0008960010</v>
      </c>
      <c r="C1892" s="5" t="str">
        <f>"562748"</f>
        <v>562748</v>
      </c>
      <c r="D1892" s="12" t="s">
        <v>941</v>
      </c>
      <c r="E1892" s="14" t="s">
        <v>66</v>
      </c>
      <c r="F1892" s="12" t="s">
        <v>3</v>
      </c>
      <c r="G1892" s="15">
        <v>10</v>
      </c>
      <c r="H1892" s="12" t="s">
        <v>942</v>
      </c>
      <c r="I1892" s="12" t="s">
        <v>70</v>
      </c>
      <c r="K1892" s="16">
        <v>17.170000000000002</v>
      </c>
      <c r="L1892" s="16">
        <v>26.51</v>
      </c>
      <c r="M1892" s="16">
        <v>28.01</v>
      </c>
    </row>
    <row r="1893" spans="1:13" outlineLevel="1" x14ac:dyDescent="0.2">
      <c r="A1893" s="3"/>
    </row>
    <row r="1894" spans="1:13" outlineLevel="2" x14ac:dyDescent="0.2">
      <c r="A1894" s="3" t="s">
        <v>1503</v>
      </c>
    </row>
    <row r="1895" spans="1:13" ht="33.75" outlineLevel="3" x14ac:dyDescent="0.2">
      <c r="B1895" s="4" t="str">
        <f>"0014410007"</f>
        <v>0014410007</v>
      </c>
      <c r="C1895" s="5" t="str">
        <f>"067144"</f>
        <v>067144</v>
      </c>
      <c r="D1895" s="12" t="s">
        <v>1309</v>
      </c>
      <c r="E1895" s="14" t="s">
        <v>337</v>
      </c>
      <c r="F1895" s="12" t="s">
        <v>3</v>
      </c>
      <c r="G1895" s="15">
        <v>7</v>
      </c>
      <c r="H1895" s="12" t="s">
        <v>1310</v>
      </c>
      <c r="I1895" s="12" t="s">
        <v>75</v>
      </c>
      <c r="J1895" s="2" t="s">
        <v>1400</v>
      </c>
      <c r="K1895" s="16">
        <v>12.68</v>
      </c>
      <c r="L1895" s="16">
        <v>19.84</v>
      </c>
      <c r="M1895" s="16">
        <v>21</v>
      </c>
    </row>
    <row r="1896" spans="1:13" ht="33.75" outlineLevel="3" x14ac:dyDescent="0.2">
      <c r="B1896" s="4" t="str">
        <f>"0014410007"</f>
        <v>0014410007</v>
      </c>
      <c r="C1896" s="5" t="str">
        <f>"385813"</f>
        <v>385813</v>
      </c>
      <c r="D1896" s="12" t="s">
        <v>1309</v>
      </c>
      <c r="E1896" s="14" t="s">
        <v>337</v>
      </c>
      <c r="F1896" s="12" t="s">
        <v>3</v>
      </c>
      <c r="G1896" s="15">
        <v>7</v>
      </c>
      <c r="H1896" s="12" t="s">
        <v>1310</v>
      </c>
      <c r="I1896" s="12" t="s">
        <v>325</v>
      </c>
      <c r="K1896" s="16">
        <v>12.52</v>
      </c>
      <c r="L1896" s="16">
        <v>19.600000000000001</v>
      </c>
      <c r="M1896" s="16">
        <v>21</v>
      </c>
    </row>
    <row r="1897" spans="1:13" ht="33.75" outlineLevel="3" x14ac:dyDescent="0.2">
      <c r="B1897" s="4" t="str">
        <f>"0014410007"</f>
        <v>0014410007</v>
      </c>
      <c r="C1897" s="5" t="str">
        <f>"416460"</f>
        <v>416460</v>
      </c>
      <c r="D1897" s="12" t="s">
        <v>1312</v>
      </c>
      <c r="E1897" s="14" t="s">
        <v>337</v>
      </c>
      <c r="F1897" s="12" t="s">
        <v>3</v>
      </c>
      <c r="G1897" s="15">
        <v>7</v>
      </c>
      <c r="H1897" s="12" t="s">
        <v>1310</v>
      </c>
      <c r="I1897" s="12" t="s">
        <v>30</v>
      </c>
      <c r="K1897" s="16">
        <v>12.52</v>
      </c>
      <c r="L1897" s="16">
        <v>19.600000000000001</v>
      </c>
      <c r="M1897" s="16">
        <v>21</v>
      </c>
    </row>
    <row r="1898" spans="1:13" ht="33.75" outlineLevel="3" x14ac:dyDescent="0.2">
      <c r="B1898" s="4" t="str">
        <f>"0014410007"</f>
        <v>0014410007</v>
      </c>
      <c r="C1898" s="5" t="str">
        <f>"489969"</f>
        <v>489969</v>
      </c>
      <c r="D1898" s="12" t="s">
        <v>1313</v>
      </c>
      <c r="E1898" s="14" t="s">
        <v>337</v>
      </c>
      <c r="F1898" s="12" t="s">
        <v>3</v>
      </c>
      <c r="G1898" s="15">
        <v>7</v>
      </c>
      <c r="H1898" s="12" t="s">
        <v>1310</v>
      </c>
      <c r="I1898" s="12" t="s">
        <v>28</v>
      </c>
      <c r="K1898" s="16">
        <v>12.52</v>
      </c>
      <c r="L1898" s="16">
        <v>19.600000000000001</v>
      </c>
      <c r="M1898" s="16">
        <v>21</v>
      </c>
    </row>
    <row r="1899" spans="1:13" ht="33.75" outlineLevel="3" x14ac:dyDescent="0.2">
      <c r="B1899" s="4" t="str">
        <f>"0014410007"</f>
        <v>0014410007</v>
      </c>
      <c r="C1899" s="5" t="str">
        <f>"389253"</f>
        <v>389253</v>
      </c>
      <c r="D1899" s="12" t="s">
        <v>1311</v>
      </c>
      <c r="E1899" s="14" t="s">
        <v>337</v>
      </c>
      <c r="F1899" s="12" t="s">
        <v>3</v>
      </c>
      <c r="G1899" s="15">
        <v>7</v>
      </c>
      <c r="H1899" s="12" t="s">
        <v>1310</v>
      </c>
      <c r="I1899" s="12" t="s">
        <v>60</v>
      </c>
      <c r="K1899" s="16">
        <v>12.45</v>
      </c>
      <c r="L1899" s="16">
        <v>19.5</v>
      </c>
      <c r="M1899" s="16">
        <v>21</v>
      </c>
    </row>
    <row r="1900" spans="1:13" outlineLevel="2" x14ac:dyDescent="0.2"/>
    <row r="1901" spans="1:13" ht="33.75" outlineLevel="3" x14ac:dyDescent="0.2">
      <c r="B1901" s="4" t="str">
        <f>"0014410010"</f>
        <v>0014410010</v>
      </c>
      <c r="C1901" s="5" t="str">
        <f>"492411"</f>
        <v>492411</v>
      </c>
      <c r="D1901" s="12" t="s">
        <v>1309</v>
      </c>
      <c r="E1901" s="14" t="s">
        <v>337</v>
      </c>
      <c r="F1901" s="12" t="s">
        <v>3</v>
      </c>
      <c r="G1901" s="15">
        <v>10</v>
      </c>
      <c r="H1901" s="12" t="s">
        <v>1310</v>
      </c>
      <c r="I1901" s="12" t="s">
        <v>325</v>
      </c>
      <c r="K1901" s="16">
        <v>16.52</v>
      </c>
      <c r="L1901" s="16">
        <v>25.54</v>
      </c>
      <c r="M1901" s="16">
        <v>26.94</v>
      </c>
    </row>
    <row r="1902" spans="1:13" ht="33.75" outlineLevel="3" x14ac:dyDescent="0.2">
      <c r="B1902" s="4" t="str">
        <f>"0014410010"</f>
        <v>0014410010</v>
      </c>
      <c r="C1902" s="5" t="str">
        <f>"499390"</f>
        <v>499390</v>
      </c>
      <c r="D1902" s="12" t="s">
        <v>1313</v>
      </c>
      <c r="E1902" s="14" t="s">
        <v>337</v>
      </c>
      <c r="F1902" s="12" t="s">
        <v>3</v>
      </c>
      <c r="G1902" s="15">
        <v>10</v>
      </c>
      <c r="H1902" s="12" t="s">
        <v>1310</v>
      </c>
      <c r="I1902" s="12" t="s">
        <v>28</v>
      </c>
      <c r="K1902" s="16">
        <v>16.52</v>
      </c>
      <c r="L1902" s="16">
        <v>25.54</v>
      </c>
      <c r="M1902" s="16">
        <v>26.94</v>
      </c>
    </row>
    <row r="1903" spans="1:13" ht="33.75" outlineLevel="3" x14ac:dyDescent="0.2">
      <c r="B1903" s="4" t="str">
        <f>"0014410010"</f>
        <v>0014410010</v>
      </c>
      <c r="C1903" s="5" t="str">
        <f>"503941"</f>
        <v>503941</v>
      </c>
      <c r="D1903" s="12" t="s">
        <v>1312</v>
      </c>
      <c r="E1903" s="14" t="s">
        <v>337</v>
      </c>
      <c r="F1903" s="12" t="s">
        <v>3</v>
      </c>
      <c r="G1903" s="15">
        <v>10</v>
      </c>
      <c r="H1903" s="12" t="s">
        <v>1310</v>
      </c>
      <c r="I1903" s="12" t="s">
        <v>30</v>
      </c>
      <c r="K1903" s="16">
        <v>16.52</v>
      </c>
      <c r="L1903" s="16">
        <v>25.54</v>
      </c>
      <c r="M1903" s="16">
        <v>26.94</v>
      </c>
    </row>
    <row r="1904" spans="1:13" ht="33.75" outlineLevel="3" x14ac:dyDescent="0.2">
      <c r="B1904" s="4" t="str">
        <f>"0014410010"</f>
        <v>0014410010</v>
      </c>
      <c r="C1904" s="5" t="str">
        <f>"486730"</f>
        <v>486730</v>
      </c>
      <c r="D1904" s="12" t="s">
        <v>1311</v>
      </c>
      <c r="E1904" s="14" t="s">
        <v>337</v>
      </c>
      <c r="F1904" s="12" t="s">
        <v>3</v>
      </c>
      <c r="G1904" s="15">
        <v>10</v>
      </c>
      <c r="H1904" s="12" t="s">
        <v>1310</v>
      </c>
      <c r="I1904" s="12" t="s">
        <v>60</v>
      </c>
      <c r="K1904" s="16">
        <v>16.45</v>
      </c>
      <c r="L1904" s="16">
        <v>25.44</v>
      </c>
      <c r="M1904" s="16">
        <v>26.94</v>
      </c>
    </row>
    <row r="1905" spans="1:13" outlineLevel="1" x14ac:dyDescent="0.2">
      <c r="A1905" s="3"/>
    </row>
    <row r="1906" spans="1:13" outlineLevel="2" x14ac:dyDescent="0.2">
      <c r="A1906" s="3" t="s">
        <v>1504</v>
      </c>
    </row>
    <row r="1907" spans="1:13" ht="33.75" outlineLevel="3" x14ac:dyDescent="0.2">
      <c r="B1907" s="4" t="str">
        <f t="shared" ref="B1907:B1912" si="69">"0014030010"</f>
        <v>0014030010</v>
      </c>
      <c r="C1907" s="5" t="str">
        <f>"006500"</f>
        <v>006500</v>
      </c>
      <c r="D1907" s="12" t="s">
        <v>1294</v>
      </c>
      <c r="E1907" s="14" t="s">
        <v>382</v>
      </c>
      <c r="F1907" s="12" t="s">
        <v>3</v>
      </c>
      <c r="G1907" s="15">
        <v>10</v>
      </c>
      <c r="H1907" s="12" t="s">
        <v>1295</v>
      </c>
      <c r="I1907" s="12" t="s">
        <v>240</v>
      </c>
      <c r="K1907" s="16">
        <v>295.77999999999997</v>
      </c>
      <c r="L1907" s="16">
        <v>391.36</v>
      </c>
      <c r="M1907" s="16">
        <v>325.95999999999998</v>
      </c>
    </row>
    <row r="1908" spans="1:13" ht="33.75" outlineLevel="3" x14ac:dyDescent="0.2">
      <c r="B1908" s="4" t="str">
        <f t="shared" si="69"/>
        <v>0014030010</v>
      </c>
      <c r="C1908" s="5" t="str">
        <f>"145619"</f>
        <v>145619</v>
      </c>
      <c r="D1908" s="12" t="s">
        <v>1296</v>
      </c>
      <c r="E1908" s="14" t="s">
        <v>382</v>
      </c>
      <c r="F1908" s="12" t="s">
        <v>3</v>
      </c>
      <c r="G1908" s="15">
        <v>10</v>
      </c>
      <c r="H1908" s="12" t="s">
        <v>1295</v>
      </c>
      <c r="I1908" s="12" t="s">
        <v>70</v>
      </c>
      <c r="K1908" s="16">
        <v>263.05</v>
      </c>
      <c r="L1908" s="16">
        <v>349.95</v>
      </c>
      <c r="M1908" s="16">
        <v>325.95999999999998</v>
      </c>
    </row>
    <row r="1909" spans="1:13" ht="33.75" outlineLevel="3" x14ac:dyDescent="0.2">
      <c r="B1909" s="4" t="str">
        <f t="shared" si="69"/>
        <v>0014030010</v>
      </c>
      <c r="C1909" s="5" t="str">
        <f>"502702"</f>
        <v>502702</v>
      </c>
      <c r="D1909" s="12" t="s">
        <v>1298</v>
      </c>
      <c r="E1909" s="14" t="s">
        <v>382</v>
      </c>
      <c r="F1909" s="12" t="s">
        <v>3</v>
      </c>
      <c r="G1909" s="15">
        <v>10</v>
      </c>
      <c r="H1909" s="12" t="s">
        <v>1295</v>
      </c>
      <c r="I1909" s="12" t="s">
        <v>355</v>
      </c>
      <c r="K1909" s="16">
        <v>263.05</v>
      </c>
      <c r="L1909" s="16">
        <v>349.95</v>
      </c>
      <c r="M1909" s="16">
        <v>325.95999999999998</v>
      </c>
    </row>
    <row r="1910" spans="1:13" ht="33.75" outlineLevel="3" x14ac:dyDescent="0.2">
      <c r="B1910" s="4" t="str">
        <f t="shared" si="69"/>
        <v>0014030010</v>
      </c>
      <c r="C1910" s="5" t="str">
        <f>"577446"</f>
        <v>577446</v>
      </c>
      <c r="D1910" s="12" t="s">
        <v>1299</v>
      </c>
      <c r="E1910" s="14" t="s">
        <v>382</v>
      </c>
      <c r="F1910" s="12" t="s">
        <v>3</v>
      </c>
      <c r="G1910" s="15">
        <v>10</v>
      </c>
      <c r="H1910" s="12" t="s">
        <v>1295</v>
      </c>
      <c r="I1910" s="12" t="s">
        <v>509</v>
      </c>
      <c r="K1910" s="16">
        <v>263.05</v>
      </c>
      <c r="L1910" s="16">
        <v>349.95</v>
      </c>
      <c r="M1910" s="16">
        <v>325.95999999999998</v>
      </c>
    </row>
    <row r="1911" spans="1:13" ht="33.75" outlineLevel="3" x14ac:dyDescent="0.2">
      <c r="B1911" s="4" t="str">
        <f t="shared" si="69"/>
        <v>0014030010</v>
      </c>
      <c r="C1911" s="5" t="str">
        <f>"582471"</f>
        <v>582471</v>
      </c>
      <c r="D1911" s="12" t="s">
        <v>1300</v>
      </c>
      <c r="E1911" s="14" t="s">
        <v>382</v>
      </c>
      <c r="F1911" s="12" t="s">
        <v>3</v>
      </c>
      <c r="G1911" s="15">
        <v>10</v>
      </c>
      <c r="H1911" s="12" t="s">
        <v>1295</v>
      </c>
      <c r="I1911" s="12" t="s">
        <v>240</v>
      </c>
      <c r="K1911" s="16">
        <v>263.05</v>
      </c>
      <c r="L1911" s="16">
        <v>349.95</v>
      </c>
      <c r="M1911" s="16">
        <v>325.95999999999998</v>
      </c>
    </row>
    <row r="1912" spans="1:13" ht="33.75" outlineLevel="3" x14ac:dyDescent="0.2">
      <c r="B1912" s="4" t="str">
        <f t="shared" si="69"/>
        <v>0014030010</v>
      </c>
      <c r="C1912" s="5" t="str">
        <f>"421359"</f>
        <v>421359</v>
      </c>
      <c r="D1912" s="12" t="s">
        <v>1297</v>
      </c>
      <c r="E1912" s="14" t="s">
        <v>382</v>
      </c>
      <c r="F1912" s="12" t="s">
        <v>3</v>
      </c>
      <c r="G1912" s="15">
        <v>10</v>
      </c>
      <c r="H1912" s="12" t="s">
        <v>1295</v>
      </c>
      <c r="I1912" s="12" t="s">
        <v>79</v>
      </c>
      <c r="K1912" s="16">
        <v>242.5</v>
      </c>
      <c r="L1912" s="16">
        <v>323.95999999999998</v>
      </c>
      <c r="M1912" s="16">
        <v>325.95999999999998</v>
      </c>
    </row>
    <row r="1913" spans="1:13" outlineLevel="1" x14ac:dyDescent="0.2">
      <c r="A1913" s="3"/>
    </row>
    <row r="1914" spans="1:13" outlineLevel="2" x14ac:dyDescent="0.2">
      <c r="A1914" s="3" t="s">
        <v>1505</v>
      </c>
    </row>
    <row r="1915" spans="1:13" outlineLevel="3" x14ac:dyDescent="0.2">
      <c r="B1915" s="4" t="str">
        <f>"0002410001"</f>
        <v>0002410001</v>
      </c>
      <c r="C1915" s="5" t="str">
        <f>"015417"</f>
        <v>015417</v>
      </c>
      <c r="D1915" s="12" t="s">
        <v>326</v>
      </c>
      <c r="E1915" s="14" t="s">
        <v>2</v>
      </c>
      <c r="F1915" s="12" t="s">
        <v>216</v>
      </c>
      <c r="G1915" s="15">
        <v>1</v>
      </c>
      <c r="H1915" s="12" t="s">
        <v>327</v>
      </c>
      <c r="I1915" s="12" t="s">
        <v>58</v>
      </c>
      <c r="K1915" s="16">
        <v>7.06</v>
      </c>
      <c r="L1915" s="16">
        <v>11.26</v>
      </c>
      <c r="M1915" s="16">
        <v>11.26</v>
      </c>
    </row>
    <row r="1916" spans="1:13" outlineLevel="3" x14ac:dyDescent="0.2">
      <c r="B1916" s="4" t="str">
        <f>"0002410001"</f>
        <v>0002410001</v>
      </c>
      <c r="C1916" s="5" t="str">
        <f>"446930"</f>
        <v>446930</v>
      </c>
      <c r="D1916" s="12" t="s">
        <v>329</v>
      </c>
      <c r="E1916" s="14" t="s">
        <v>2</v>
      </c>
      <c r="F1916" s="12" t="s">
        <v>216</v>
      </c>
      <c r="G1916" s="15">
        <v>1</v>
      </c>
      <c r="H1916" s="12" t="s">
        <v>327</v>
      </c>
      <c r="I1916" s="12" t="s">
        <v>240</v>
      </c>
      <c r="K1916" s="16">
        <v>7.06</v>
      </c>
      <c r="L1916" s="16">
        <v>11.26</v>
      </c>
      <c r="M1916" s="16">
        <v>11.26</v>
      </c>
    </row>
    <row r="1917" spans="1:13" outlineLevel="3" x14ac:dyDescent="0.2">
      <c r="B1917" s="4" t="str">
        <f>"0002410001"</f>
        <v>0002410001</v>
      </c>
      <c r="C1917" s="5" t="str">
        <f>"017679"</f>
        <v>017679</v>
      </c>
      <c r="D1917" s="12" t="s">
        <v>328</v>
      </c>
      <c r="E1917" s="14" t="s">
        <v>2</v>
      </c>
      <c r="F1917" s="12" t="s">
        <v>216</v>
      </c>
      <c r="G1917" s="15">
        <v>1</v>
      </c>
      <c r="H1917" s="12" t="s">
        <v>327</v>
      </c>
      <c r="I1917" s="12" t="s">
        <v>30</v>
      </c>
      <c r="K1917" s="16">
        <v>6.12</v>
      </c>
      <c r="L1917" s="16">
        <v>9.76</v>
      </c>
      <c r="M1917" s="16">
        <v>11.26</v>
      </c>
    </row>
    <row r="1918" spans="1:13" outlineLevel="2" x14ac:dyDescent="0.2"/>
    <row r="1919" spans="1:13" outlineLevel="3" x14ac:dyDescent="0.2">
      <c r="B1919" s="4" t="str">
        <f>"0002410004"</f>
        <v>0002410004</v>
      </c>
      <c r="C1919" s="5" t="str">
        <f>"015428"</f>
        <v>015428</v>
      </c>
      <c r="D1919" s="12" t="s">
        <v>326</v>
      </c>
      <c r="E1919" s="14" t="s">
        <v>2</v>
      </c>
      <c r="F1919" s="12" t="s">
        <v>216</v>
      </c>
      <c r="G1919" s="15">
        <v>4</v>
      </c>
      <c r="H1919" s="12" t="s">
        <v>327</v>
      </c>
      <c r="I1919" s="12" t="s">
        <v>58</v>
      </c>
      <c r="K1919" s="16">
        <v>15.58</v>
      </c>
      <c r="L1919" s="16">
        <v>24.15</v>
      </c>
      <c r="M1919" s="16">
        <v>25.65</v>
      </c>
    </row>
    <row r="1920" spans="1:13" outlineLevel="3" x14ac:dyDescent="0.2">
      <c r="B1920" s="4" t="str">
        <f>"0002410004"</f>
        <v>0002410004</v>
      </c>
      <c r="C1920" s="5" t="str">
        <f>"017668"</f>
        <v>017668</v>
      </c>
      <c r="D1920" s="12" t="s">
        <v>328</v>
      </c>
      <c r="E1920" s="14" t="s">
        <v>2</v>
      </c>
      <c r="F1920" s="12" t="s">
        <v>216</v>
      </c>
      <c r="G1920" s="15">
        <v>4</v>
      </c>
      <c r="H1920" s="12" t="s">
        <v>327</v>
      </c>
      <c r="I1920" s="12" t="s">
        <v>30</v>
      </c>
      <c r="K1920" s="16">
        <v>15.58</v>
      </c>
      <c r="L1920" s="16">
        <v>24.15</v>
      </c>
      <c r="M1920" s="16">
        <v>25.65</v>
      </c>
    </row>
    <row r="1921" spans="2:13" outlineLevel="3" x14ac:dyDescent="0.2">
      <c r="B1921" s="4" t="str">
        <f>"0002410004"</f>
        <v>0002410004</v>
      </c>
      <c r="C1921" s="5" t="str">
        <f>"566992"</f>
        <v>566992</v>
      </c>
      <c r="D1921" s="12" t="s">
        <v>329</v>
      </c>
      <c r="E1921" s="14" t="s">
        <v>2</v>
      </c>
      <c r="F1921" s="12" t="s">
        <v>216</v>
      </c>
      <c r="G1921" s="15">
        <v>4</v>
      </c>
      <c r="H1921" s="12" t="s">
        <v>327</v>
      </c>
      <c r="I1921" s="12" t="s">
        <v>240</v>
      </c>
      <c r="K1921" s="16">
        <v>15.58</v>
      </c>
      <c r="L1921" s="16">
        <v>24.15</v>
      </c>
      <c r="M1921" s="16">
        <v>25.65</v>
      </c>
    </row>
    <row r="1922" spans="2:13" outlineLevel="2" x14ac:dyDescent="0.2"/>
    <row r="1923" spans="2:13" outlineLevel="3" x14ac:dyDescent="0.2">
      <c r="B1923" s="4" t="str">
        <f>"0002410006"</f>
        <v>0002410006</v>
      </c>
      <c r="C1923" s="5" t="str">
        <f>"017701"</f>
        <v>017701</v>
      </c>
      <c r="D1923" s="12" t="s">
        <v>328</v>
      </c>
      <c r="E1923" s="14" t="s">
        <v>2</v>
      </c>
      <c r="F1923" s="12" t="s">
        <v>216</v>
      </c>
      <c r="G1923" s="15">
        <v>6</v>
      </c>
      <c r="H1923" s="12" t="s">
        <v>327</v>
      </c>
      <c r="I1923" s="12" t="s">
        <v>30</v>
      </c>
      <c r="K1923" s="16">
        <v>28.44</v>
      </c>
      <c r="L1923" s="16">
        <v>43.24</v>
      </c>
      <c r="M1923" s="16">
        <v>45.24</v>
      </c>
    </row>
    <row r="1924" spans="2:13" outlineLevel="2" x14ac:dyDescent="0.2"/>
    <row r="1925" spans="2:13" outlineLevel="3" x14ac:dyDescent="0.2">
      <c r="B1925" s="4" t="str">
        <f>"0002410012"</f>
        <v>0002410012</v>
      </c>
      <c r="C1925" s="5" t="str">
        <f>"015439"</f>
        <v>015439</v>
      </c>
      <c r="D1925" s="12" t="s">
        <v>326</v>
      </c>
      <c r="E1925" s="14" t="s">
        <v>2</v>
      </c>
      <c r="F1925" s="12" t="s">
        <v>216</v>
      </c>
      <c r="G1925" s="15">
        <v>12</v>
      </c>
      <c r="H1925" s="12" t="s">
        <v>327</v>
      </c>
      <c r="I1925" s="12" t="s">
        <v>58</v>
      </c>
      <c r="K1925" s="16">
        <v>23.85</v>
      </c>
      <c r="L1925" s="16">
        <v>36.43</v>
      </c>
      <c r="M1925" s="16">
        <v>37.93</v>
      </c>
    </row>
    <row r="1926" spans="2:13" outlineLevel="3" x14ac:dyDescent="0.2">
      <c r="B1926" s="4" t="str">
        <f>"0002410012"</f>
        <v>0002410012</v>
      </c>
      <c r="C1926" s="5" t="str">
        <f>"399105"</f>
        <v>399105</v>
      </c>
      <c r="D1926" s="12" t="s">
        <v>329</v>
      </c>
      <c r="E1926" s="14" t="s">
        <v>2</v>
      </c>
      <c r="F1926" s="12" t="s">
        <v>216</v>
      </c>
      <c r="G1926" s="15">
        <v>12</v>
      </c>
      <c r="H1926" s="12" t="s">
        <v>327</v>
      </c>
      <c r="I1926" s="12" t="s">
        <v>240</v>
      </c>
      <c r="K1926" s="16">
        <v>23.85</v>
      </c>
      <c r="L1926" s="16">
        <v>36.43</v>
      </c>
      <c r="M1926" s="16">
        <v>37.93</v>
      </c>
    </row>
    <row r="1927" spans="2:13" outlineLevel="2" x14ac:dyDescent="0.2"/>
    <row r="1928" spans="2:13" outlineLevel="3" x14ac:dyDescent="0.2">
      <c r="B1928" s="4" t="str">
        <f>"0002420007"</f>
        <v>0002420007</v>
      </c>
      <c r="C1928" s="5" t="str">
        <f>"015447"</f>
        <v>015447</v>
      </c>
      <c r="D1928" s="12" t="s">
        <v>326</v>
      </c>
      <c r="E1928" s="14" t="s">
        <v>106</v>
      </c>
      <c r="F1928" s="12" t="s">
        <v>216</v>
      </c>
      <c r="G1928" s="15">
        <v>7</v>
      </c>
      <c r="H1928" s="12" t="s">
        <v>327</v>
      </c>
      <c r="I1928" s="12" t="s">
        <v>58</v>
      </c>
      <c r="K1928" s="16">
        <v>16.010000000000002</v>
      </c>
      <c r="L1928" s="16">
        <v>24.78</v>
      </c>
      <c r="M1928" s="16">
        <v>24.79</v>
      </c>
    </row>
    <row r="1929" spans="2:13" outlineLevel="3" x14ac:dyDescent="0.2">
      <c r="B1929" s="4" t="str">
        <f>"0002420007"</f>
        <v>0002420007</v>
      </c>
      <c r="C1929" s="5" t="str">
        <f>"446807"</f>
        <v>446807</v>
      </c>
      <c r="D1929" s="12" t="s">
        <v>329</v>
      </c>
      <c r="E1929" s="14" t="s">
        <v>106</v>
      </c>
      <c r="F1929" s="12" t="s">
        <v>216</v>
      </c>
      <c r="G1929" s="15">
        <v>7</v>
      </c>
      <c r="H1929" s="12" t="s">
        <v>327</v>
      </c>
      <c r="I1929" s="12" t="s">
        <v>240</v>
      </c>
      <c r="K1929" s="16">
        <v>16.010000000000002</v>
      </c>
      <c r="L1929" s="16">
        <v>24.78</v>
      </c>
      <c r="M1929" s="16">
        <v>24.79</v>
      </c>
    </row>
    <row r="1930" spans="2:13" outlineLevel="3" x14ac:dyDescent="0.2">
      <c r="B1930" s="4" t="str">
        <f>"0002420007"</f>
        <v>0002420007</v>
      </c>
      <c r="C1930" s="5" t="str">
        <f>"017712"</f>
        <v>017712</v>
      </c>
      <c r="D1930" s="12" t="s">
        <v>328</v>
      </c>
      <c r="E1930" s="14" t="s">
        <v>106</v>
      </c>
      <c r="F1930" s="12" t="s">
        <v>216</v>
      </c>
      <c r="G1930" s="15">
        <v>7</v>
      </c>
      <c r="H1930" s="12" t="s">
        <v>327</v>
      </c>
      <c r="I1930" s="12" t="s">
        <v>30</v>
      </c>
      <c r="K1930" s="16">
        <v>15</v>
      </c>
      <c r="L1930" s="16">
        <v>23.29</v>
      </c>
      <c r="M1930" s="16">
        <v>24.79</v>
      </c>
    </row>
    <row r="1931" spans="2:13" outlineLevel="2" x14ac:dyDescent="0.2"/>
    <row r="1932" spans="2:13" outlineLevel="3" x14ac:dyDescent="0.2">
      <c r="B1932" s="4" t="str">
        <f>"0002420030"</f>
        <v>0002420030</v>
      </c>
      <c r="C1932" s="5" t="str">
        <f>"015458"</f>
        <v>015458</v>
      </c>
      <c r="D1932" s="12" t="s">
        <v>326</v>
      </c>
      <c r="E1932" s="14" t="s">
        <v>106</v>
      </c>
      <c r="F1932" s="12" t="s">
        <v>216</v>
      </c>
      <c r="G1932" s="15">
        <v>28</v>
      </c>
      <c r="H1932" s="12" t="s">
        <v>327</v>
      </c>
      <c r="I1932" s="12" t="s">
        <v>58</v>
      </c>
      <c r="K1932" s="16">
        <v>19.72</v>
      </c>
      <c r="L1932" s="16">
        <v>30.29</v>
      </c>
      <c r="M1932" s="16">
        <v>31.79</v>
      </c>
    </row>
    <row r="1933" spans="2:13" outlineLevel="3" x14ac:dyDescent="0.2">
      <c r="B1933" s="4" t="str">
        <f>"0002420030"</f>
        <v>0002420030</v>
      </c>
      <c r="C1933" s="5" t="str">
        <f>"017745"</f>
        <v>017745</v>
      </c>
      <c r="D1933" s="12" t="s">
        <v>328</v>
      </c>
      <c r="E1933" s="14" t="s">
        <v>106</v>
      </c>
      <c r="F1933" s="12" t="s">
        <v>216</v>
      </c>
      <c r="G1933" s="15">
        <v>28</v>
      </c>
      <c r="H1933" s="12" t="s">
        <v>327</v>
      </c>
      <c r="I1933" s="12" t="s">
        <v>30</v>
      </c>
      <c r="K1933" s="16">
        <v>19.72</v>
      </c>
      <c r="L1933" s="16">
        <v>30.29</v>
      </c>
      <c r="M1933" s="16">
        <v>31.79</v>
      </c>
    </row>
    <row r="1934" spans="2:13" outlineLevel="3" x14ac:dyDescent="0.2">
      <c r="B1934" s="4" t="str">
        <f>"0002420030"</f>
        <v>0002420030</v>
      </c>
      <c r="C1934" s="5" t="str">
        <f>"478289"</f>
        <v>478289</v>
      </c>
      <c r="D1934" s="12" t="s">
        <v>329</v>
      </c>
      <c r="E1934" s="14" t="s">
        <v>106</v>
      </c>
      <c r="F1934" s="12" t="s">
        <v>216</v>
      </c>
      <c r="G1934" s="15">
        <v>28</v>
      </c>
      <c r="H1934" s="12" t="s">
        <v>327</v>
      </c>
      <c r="I1934" s="12" t="s">
        <v>240</v>
      </c>
      <c r="K1934" s="16">
        <v>19.72</v>
      </c>
      <c r="L1934" s="16">
        <v>30.29</v>
      </c>
      <c r="M1934" s="16">
        <v>31.79</v>
      </c>
    </row>
    <row r="1935" spans="2:13" outlineLevel="2" x14ac:dyDescent="0.2"/>
    <row r="1936" spans="2:13" outlineLevel="3" x14ac:dyDescent="0.2">
      <c r="B1936" s="4" t="str">
        <f>"0002420100"</f>
        <v>0002420100</v>
      </c>
      <c r="C1936" s="5" t="str">
        <f>"033833"</f>
        <v>033833</v>
      </c>
      <c r="D1936" s="12" t="s">
        <v>328</v>
      </c>
      <c r="E1936" s="14" t="s">
        <v>106</v>
      </c>
      <c r="F1936" s="12" t="s">
        <v>216</v>
      </c>
      <c r="G1936" s="15">
        <v>98</v>
      </c>
      <c r="H1936" s="12" t="s">
        <v>327</v>
      </c>
      <c r="I1936" s="12" t="s">
        <v>30</v>
      </c>
      <c r="K1936" s="16">
        <v>55.12</v>
      </c>
      <c r="L1936" s="16">
        <v>81.88</v>
      </c>
      <c r="M1936" s="16">
        <v>83.88</v>
      </c>
    </row>
    <row r="1937" spans="1:13" outlineLevel="2" x14ac:dyDescent="0.2"/>
    <row r="1938" spans="1:13" outlineLevel="3" x14ac:dyDescent="0.2">
      <c r="B1938" s="4" t="str">
        <f>"0005010007"</f>
        <v>0005010007</v>
      </c>
      <c r="C1938" s="5" t="str">
        <f>"015430"</f>
        <v>015430</v>
      </c>
      <c r="D1938" s="12" t="s">
        <v>326</v>
      </c>
      <c r="E1938" s="14" t="s">
        <v>118</v>
      </c>
      <c r="F1938" s="12" t="s">
        <v>216</v>
      </c>
      <c r="G1938" s="15">
        <v>7</v>
      </c>
      <c r="H1938" s="12" t="s">
        <v>327</v>
      </c>
      <c r="I1938" s="12" t="s">
        <v>58</v>
      </c>
      <c r="K1938" s="16">
        <v>18.98</v>
      </c>
      <c r="L1938" s="16">
        <v>29.19</v>
      </c>
      <c r="M1938" s="16">
        <v>30.69</v>
      </c>
    </row>
    <row r="1939" spans="1:13" outlineLevel="3" x14ac:dyDescent="0.2">
      <c r="B1939" s="4" t="str">
        <f>"0005010007"</f>
        <v>0005010007</v>
      </c>
      <c r="C1939" s="5" t="str">
        <f>"017585"</f>
        <v>017585</v>
      </c>
      <c r="D1939" s="12" t="s">
        <v>328</v>
      </c>
      <c r="E1939" s="14" t="s">
        <v>118</v>
      </c>
      <c r="F1939" s="12" t="s">
        <v>216</v>
      </c>
      <c r="G1939" s="15">
        <v>7</v>
      </c>
      <c r="H1939" s="12" t="s">
        <v>327</v>
      </c>
      <c r="I1939" s="12" t="s">
        <v>30</v>
      </c>
      <c r="K1939" s="16">
        <v>18.98</v>
      </c>
      <c r="L1939" s="16">
        <v>29.19</v>
      </c>
      <c r="M1939" s="16">
        <v>30.69</v>
      </c>
    </row>
    <row r="1940" spans="1:13" outlineLevel="3" x14ac:dyDescent="0.2">
      <c r="B1940" s="4" t="str">
        <f>"0005010007"</f>
        <v>0005010007</v>
      </c>
      <c r="C1940" s="5" t="str">
        <f>"483503"</f>
        <v>483503</v>
      </c>
      <c r="D1940" s="12" t="s">
        <v>329</v>
      </c>
      <c r="E1940" s="14" t="s">
        <v>118</v>
      </c>
      <c r="F1940" s="12" t="s">
        <v>216</v>
      </c>
      <c r="G1940" s="15">
        <v>7</v>
      </c>
      <c r="H1940" s="12" t="s">
        <v>327</v>
      </c>
      <c r="I1940" s="12" t="s">
        <v>240</v>
      </c>
      <c r="K1940" s="16">
        <v>18.98</v>
      </c>
      <c r="L1940" s="16">
        <v>29.19</v>
      </c>
      <c r="M1940" s="16">
        <v>30.69</v>
      </c>
    </row>
    <row r="1941" spans="1:13" outlineLevel="2" x14ac:dyDescent="0.2"/>
    <row r="1942" spans="1:13" outlineLevel="3" x14ac:dyDescent="0.2">
      <c r="B1942" s="4" t="str">
        <f>"0005010030"</f>
        <v>0005010030</v>
      </c>
      <c r="C1942" s="5" t="str">
        <f>"483511"</f>
        <v>483511</v>
      </c>
      <c r="D1942" s="12" t="s">
        <v>329</v>
      </c>
      <c r="E1942" s="14" t="s">
        <v>118</v>
      </c>
      <c r="F1942" s="12" t="s">
        <v>216</v>
      </c>
      <c r="G1942" s="15">
        <v>28</v>
      </c>
      <c r="H1942" s="12" t="s">
        <v>327</v>
      </c>
      <c r="I1942" s="12" t="s">
        <v>240</v>
      </c>
      <c r="K1942" s="16">
        <v>32.700000000000003</v>
      </c>
      <c r="L1942" s="16">
        <v>49.58</v>
      </c>
      <c r="M1942" s="16">
        <v>39.6</v>
      </c>
    </row>
    <row r="1943" spans="1:13" outlineLevel="3" x14ac:dyDescent="0.2">
      <c r="B1943" s="4" t="str">
        <f>"0005010030"</f>
        <v>0005010030</v>
      </c>
      <c r="C1943" s="5" t="str">
        <f>"015406"</f>
        <v>015406</v>
      </c>
      <c r="D1943" s="12" t="s">
        <v>326</v>
      </c>
      <c r="E1943" s="14" t="s">
        <v>118</v>
      </c>
      <c r="F1943" s="12" t="s">
        <v>216</v>
      </c>
      <c r="G1943" s="15">
        <v>28</v>
      </c>
      <c r="H1943" s="12" t="s">
        <v>327</v>
      </c>
      <c r="I1943" s="12" t="s">
        <v>58</v>
      </c>
      <c r="K1943" s="16">
        <v>24.98</v>
      </c>
      <c r="L1943" s="16">
        <v>38.1</v>
      </c>
      <c r="M1943" s="16">
        <v>39.6</v>
      </c>
    </row>
    <row r="1944" spans="1:13" outlineLevel="3" x14ac:dyDescent="0.2">
      <c r="B1944" s="4" t="str">
        <f>"0005010030"</f>
        <v>0005010030</v>
      </c>
      <c r="C1944" s="5" t="str">
        <f>"017646"</f>
        <v>017646</v>
      </c>
      <c r="D1944" s="12" t="s">
        <v>328</v>
      </c>
      <c r="E1944" s="14" t="s">
        <v>118</v>
      </c>
      <c r="F1944" s="12" t="s">
        <v>216</v>
      </c>
      <c r="G1944" s="15">
        <v>28</v>
      </c>
      <c r="H1944" s="12" t="s">
        <v>327</v>
      </c>
      <c r="I1944" s="12" t="s">
        <v>30</v>
      </c>
      <c r="K1944" s="16">
        <v>24.98</v>
      </c>
      <c r="L1944" s="16">
        <v>38.1</v>
      </c>
      <c r="M1944" s="16">
        <v>39.6</v>
      </c>
    </row>
    <row r="1945" spans="1:13" outlineLevel="1" x14ac:dyDescent="0.2">
      <c r="A1945" s="3"/>
    </row>
    <row r="1946" spans="1:13" outlineLevel="2" x14ac:dyDescent="0.2">
      <c r="A1946" s="3" t="s">
        <v>1506</v>
      </c>
    </row>
    <row r="1947" spans="1:13" ht="33.75" outlineLevel="3" x14ac:dyDescent="0.2">
      <c r="B1947" s="4" t="str">
        <f>"0014360056"</f>
        <v>0014360056</v>
      </c>
      <c r="C1947" s="5" t="str">
        <f>"489937"</f>
        <v>489937</v>
      </c>
      <c r="D1947" s="12" t="s">
        <v>1305</v>
      </c>
      <c r="E1947" s="14" t="s">
        <v>142</v>
      </c>
      <c r="F1947" s="12" t="s">
        <v>3</v>
      </c>
      <c r="G1947" s="15">
        <v>56</v>
      </c>
      <c r="H1947" s="12" t="s">
        <v>1304</v>
      </c>
      <c r="I1947" s="12" t="s">
        <v>240</v>
      </c>
      <c r="J1947" s="2" t="s">
        <v>1400</v>
      </c>
      <c r="K1947" s="16" t="s">
        <v>1401</v>
      </c>
      <c r="L1947" s="16" t="s">
        <v>1401</v>
      </c>
      <c r="M1947" s="16">
        <v>1313.16</v>
      </c>
    </row>
    <row r="1948" spans="1:13" ht="33.75" outlineLevel="3" x14ac:dyDescent="0.2">
      <c r="B1948" s="4" t="str">
        <f>"0014360056"</f>
        <v>0014360056</v>
      </c>
      <c r="C1948" s="5" t="str">
        <f>"010886"</f>
        <v>010886</v>
      </c>
      <c r="D1948" s="12" t="s">
        <v>1306</v>
      </c>
      <c r="E1948" s="14" t="s">
        <v>142</v>
      </c>
      <c r="F1948" s="12" t="s">
        <v>3</v>
      </c>
      <c r="G1948" s="15">
        <v>56</v>
      </c>
      <c r="H1948" s="12" t="s">
        <v>1304</v>
      </c>
      <c r="I1948" s="12" t="s">
        <v>966</v>
      </c>
      <c r="J1948" s="6"/>
      <c r="K1948" s="16">
        <v>1965.74</v>
      </c>
      <c r="L1948" s="16">
        <v>2418.86</v>
      </c>
      <c r="M1948" s="16">
        <v>1313.16</v>
      </c>
    </row>
    <row r="1949" spans="1:13" ht="33.75" outlineLevel="3" x14ac:dyDescent="0.2">
      <c r="B1949" s="4" t="str">
        <f>"0014360056"</f>
        <v>0014360056</v>
      </c>
      <c r="C1949" s="5" t="str">
        <f>"133979"</f>
        <v>133979</v>
      </c>
      <c r="D1949" s="12" t="s">
        <v>1303</v>
      </c>
      <c r="E1949" s="14" t="s">
        <v>142</v>
      </c>
      <c r="F1949" s="12" t="s">
        <v>3</v>
      </c>
      <c r="G1949" s="15">
        <v>56</v>
      </c>
      <c r="H1949" s="12" t="s">
        <v>1304</v>
      </c>
      <c r="I1949" s="12" t="s">
        <v>70</v>
      </c>
      <c r="J1949" s="2" t="s">
        <v>1400</v>
      </c>
      <c r="K1949" s="16">
        <v>1179.44</v>
      </c>
      <c r="L1949" s="16">
        <v>1467.43</v>
      </c>
      <c r="M1949" s="16">
        <v>1313.16</v>
      </c>
    </row>
    <row r="1950" spans="1:13" ht="33.75" outlineLevel="3" x14ac:dyDescent="0.2">
      <c r="B1950" s="4" t="str">
        <f>"0014360056"</f>
        <v>0014360056</v>
      </c>
      <c r="C1950" s="5" t="str">
        <f>"152719"</f>
        <v>152719</v>
      </c>
      <c r="D1950" s="12" t="s">
        <v>1307</v>
      </c>
      <c r="E1950" s="14" t="s">
        <v>142</v>
      </c>
      <c r="F1950" s="12" t="s">
        <v>3</v>
      </c>
      <c r="G1950" s="15">
        <v>56</v>
      </c>
      <c r="H1950" s="12" t="s">
        <v>1304</v>
      </c>
      <c r="I1950" s="12" t="s">
        <v>104</v>
      </c>
      <c r="J1950" s="6"/>
      <c r="K1950" s="16">
        <v>1179.44</v>
      </c>
      <c r="L1950" s="16">
        <v>1467.43</v>
      </c>
      <c r="M1950" s="16">
        <v>1313.16</v>
      </c>
    </row>
    <row r="1951" spans="1:13" ht="33.75" outlineLevel="3" x14ac:dyDescent="0.2">
      <c r="B1951" s="4" t="str">
        <f>"0014360056"</f>
        <v>0014360056</v>
      </c>
      <c r="C1951" s="5" t="str">
        <f>"427482"</f>
        <v>427482</v>
      </c>
      <c r="D1951" s="12" t="s">
        <v>1308</v>
      </c>
      <c r="E1951" s="14" t="s">
        <v>142</v>
      </c>
      <c r="F1951" s="12" t="s">
        <v>3</v>
      </c>
      <c r="G1951" s="15">
        <v>56</v>
      </c>
      <c r="H1951" s="12" t="s">
        <v>1304</v>
      </c>
      <c r="I1951" s="12" t="s">
        <v>79</v>
      </c>
      <c r="J1951" s="6"/>
      <c r="K1951" s="16">
        <v>1050.28</v>
      </c>
      <c r="L1951" s="16">
        <v>1311.16</v>
      </c>
      <c r="M1951" s="16">
        <v>1313.16</v>
      </c>
    </row>
    <row r="1952" spans="1:13" outlineLevel="2" x14ac:dyDescent="0.2"/>
    <row r="1953" spans="1:13" ht="33.75" outlineLevel="3" x14ac:dyDescent="0.2">
      <c r="B1953" s="4" t="str">
        <f>"0014370056"</f>
        <v>0014370056</v>
      </c>
      <c r="C1953" s="5" t="str">
        <f>"146143"</f>
        <v>146143</v>
      </c>
      <c r="D1953" s="12" t="s">
        <v>1305</v>
      </c>
      <c r="E1953" s="14" t="s">
        <v>106</v>
      </c>
      <c r="F1953" s="12" t="s">
        <v>3</v>
      </c>
      <c r="G1953" s="15">
        <v>56</v>
      </c>
      <c r="H1953" s="12" t="s">
        <v>1304</v>
      </c>
      <c r="I1953" s="12" t="s">
        <v>240</v>
      </c>
      <c r="J1953" s="2" t="s">
        <v>1400</v>
      </c>
      <c r="K1953" s="16" t="s">
        <v>1401</v>
      </c>
      <c r="L1953" s="16" t="s">
        <v>1401</v>
      </c>
      <c r="M1953" s="16">
        <v>330.2</v>
      </c>
    </row>
    <row r="1954" spans="1:13" ht="33.75" outlineLevel="3" x14ac:dyDescent="0.2">
      <c r="B1954" s="4" t="str">
        <f>"0014370056"</f>
        <v>0014370056</v>
      </c>
      <c r="C1954" s="5" t="str">
        <f>"010192"</f>
        <v>010192</v>
      </c>
      <c r="D1954" s="12" t="s">
        <v>1306</v>
      </c>
      <c r="E1954" s="14" t="s">
        <v>106</v>
      </c>
      <c r="F1954" s="12" t="s">
        <v>3</v>
      </c>
      <c r="G1954" s="15">
        <v>56</v>
      </c>
      <c r="H1954" s="12" t="s">
        <v>1304</v>
      </c>
      <c r="I1954" s="12" t="s">
        <v>966</v>
      </c>
      <c r="K1954" s="16">
        <v>491.43</v>
      </c>
      <c r="L1954" s="16">
        <v>634.94000000000005</v>
      </c>
      <c r="M1954" s="16">
        <v>330.2</v>
      </c>
    </row>
    <row r="1955" spans="1:13" ht="33.75" outlineLevel="3" x14ac:dyDescent="0.2">
      <c r="B1955" s="4" t="str">
        <f>"0014370056"</f>
        <v>0014370056</v>
      </c>
      <c r="C1955" s="5" t="str">
        <f>"415459"</f>
        <v>415459</v>
      </c>
      <c r="D1955" s="12" t="s">
        <v>1308</v>
      </c>
      <c r="E1955" s="14" t="s">
        <v>106</v>
      </c>
      <c r="F1955" s="12" t="s">
        <v>3</v>
      </c>
      <c r="G1955" s="15">
        <v>56</v>
      </c>
      <c r="H1955" s="12" t="s">
        <v>1304</v>
      </c>
      <c r="I1955" s="12" t="s">
        <v>79</v>
      </c>
      <c r="K1955" s="16">
        <v>245.85</v>
      </c>
      <c r="L1955" s="16">
        <v>328.2</v>
      </c>
      <c r="M1955" s="16">
        <v>330.2</v>
      </c>
    </row>
    <row r="1956" spans="1:13" outlineLevel="1" x14ac:dyDescent="0.2">
      <c r="A1956" s="3"/>
    </row>
    <row r="1957" spans="1:13" outlineLevel="2" x14ac:dyDescent="0.2">
      <c r="A1957" s="3" t="s">
        <v>1507</v>
      </c>
    </row>
    <row r="1958" spans="1:13" ht="22.5" outlineLevel="3" x14ac:dyDescent="0.2">
      <c r="B1958" s="4" t="str">
        <f>"0002430025"</f>
        <v>0002430025</v>
      </c>
      <c r="C1958" s="5" t="str">
        <f>"077180"</f>
        <v>077180</v>
      </c>
      <c r="D1958" s="12" t="s">
        <v>332</v>
      </c>
      <c r="E1958" s="14" t="s">
        <v>142</v>
      </c>
      <c r="F1958" s="12" t="s">
        <v>73</v>
      </c>
      <c r="G1958" s="15">
        <v>25</v>
      </c>
      <c r="H1958" s="12" t="s">
        <v>331</v>
      </c>
      <c r="I1958" s="12" t="s">
        <v>333</v>
      </c>
      <c r="K1958" s="16">
        <v>7.74</v>
      </c>
      <c r="L1958" s="16">
        <v>12.34</v>
      </c>
      <c r="M1958" s="16">
        <v>12.27</v>
      </c>
    </row>
    <row r="1959" spans="1:13" outlineLevel="3" x14ac:dyDescent="0.2">
      <c r="B1959" s="4" t="str">
        <f>"0002430025"</f>
        <v>0002430025</v>
      </c>
      <c r="C1959" s="5" t="str">
        <f>"094441"</f>
        <v>094441</v>
      </c>
      <c r="D1959" s="12" t="s">
        <v>334</v>
      </c>
      <c r="E1959" s="14" t="s">
        <v>142</v>
      </c>
      <c r="F1959" s="12" t="s">
        <v>73</v>
      </c>
      <c r="G1959" s="15">
        <v>25</v>
      </c>
      <c r="H1959" s="12" t="s">
        <v>331</v>
      </c>
      <c r="I1959" s="12" t="s">
        <v>5</v>
      </c>
      <c r="K1959" s="16">
        <v>7.74</v>
      </c>
      <c r="L1959" s="16">
        <v>12.34</v>
      </c>
      <c r="M1959" s="16">
        <v>12.27</v>
      </c>
    </row>
    <row r="1960" spans="1:13" outlineLevel="3" x14ac:dyDescent="0.2">
      <c r="B1960" s="4" t="str">
        <f>"0002430025"</f>
        <v>0002430025</v>
      </c>
      <c r="C1960" s="5" t="str">
        <f>"515575"</f>
        <v>515575</v>
      </c>
      <c r="D1960" s="12" t="s">
        <v>336</v>
      </c>
      <c r="E1960" s="14" t="s">
        <v>142</v>
      </c>
      <c r="F1960" s="12" t="s">
        <v>73</v>
      </c>
      <c r="G1960" s="15">
        <v>25</v>
      </c>
      <c r="H1960" s="12" t="s">
        <v>331</v>
      </c>
      <c r="I1960" s="12" t="s">
        <v>70</v>
      </c>
      <c r="K1960" s="16">
        <v>7.74</v>
      </c>
      <c r="L1960" s="16">
        <v>12.34</v>
      </c>
      <c r="M1960" s="16">
        <v>12.27</v>
      </c>
    </row>
    <row r="1961" spans="1:13" outlineLevel="3" x14ac:dyDescent="0.2">
      <c r="B1961" s="4" t="str">
        <f>"0002430025"</f>
        <v>0002430025</v>
      </c>
      <c r="C1961" s="5" t="str">
        <f>"060988"</f>
        <v>060988</v>
      </c>
      <c r="D1961" s="12" t="s">
        <v>330</v>
      </c>
      <c r="E1961" s="14" t="s">
        <v>142</v>
      </c>
      <c r="F1961" s="12" t="s">
        <v>73</v>
      </c>
      <c r="G1961" s="15">
        <v>25</v>
      </c>
      <c r="H1961" s="12" t="s">
        <v>331</v>
      </c>
      <c r="I1961" s="12" t="s">
        <v>58</v>
      </c>
      <c r="K1961" s="16">
        <v>6.8</v>
      </c>
      <c r="L1961" s="16">
        <v>10.85</v>
      </c>
      <c r="M1961" s="16">
        <v>12.27</v>
      </c>
    </row>
    <row r="1962" spans="1:13" ht="22.5" outlineLevel="3" x14ac:dyDescent="0.2">
      <c r="B1962" s="4" t="str">
        <f>"0002430025"</f>
        <v>0002430025</v>
      </c>
      <c r="C1962" s="5" t="str">
        <f>"106872"</f>
        <v>106872</v>
      </c>
      <c r="D1962" s="12" t="s">
        <v>335</v>
      </c>
      <c r="E1962" s="14" t="s">
        <v>142</v>
      </c>
      <c r="F1962" s="12" t="s">
        <v>73</v>
      </c>
      <c r="G1962" s="15">
        <v>25</v>
      </c>
      <c r="H1962" s="12" t="s">
        <v>331</v>
      </c>
      <c r="I1962" s="12" t="s">
        <v>60</v>
      </c>
      <c r="K1962" s="16">
        <v>6.75</v>
      </c>
      <c r="L1962" s="16">
        <v>10.77</v>
      </c>
      <c r="M1962" s="16">
        <v>12.27</v>
      </c>
    </row>
    <row r="1963" spans="1:13" outlineLevel="2" x14ac:dyDescent="0.2"/>
    <row r="1964" spans="1:13" outlineLevel="3" x14ac:dyDescent="0.2">
      <c r="B1964" s="4" t="str">
        <f>"0002440060"</f>
        <v>0002440060</v>
      </c>
      <c r="C1964" s="5" t="str">
        <f>"158428"</f>
        <v>158428</v>
      </c>
      <c r="D1964" s="12" t="s">
        <v>334</v>
      </c>
      <c r="E1964" s="14" t="s">
        <v>337</v>
      </c>
      <c r="F1964" s="12" t="s">
        <v>73</v>
      </c>
      <c r="G1964" s="15">
        <v>60</v>
      </c>
      <c r="H1964" s="12" t="s">
        <v>331</v>
      </c>
      <c r="I1964" s="12" t="s">
        <v>5</v>
      </c>
      <c r="K1964" s="16">
        <v>45.08</v>
      </c>
      <c r="L1964" s="16">
        <v>67.959999999999994</v>
      </c>
      <c r="M1964" s="16">
        <v>69.959999999999994</v>
      </c>
    </row>
    <row r="1965" spans="1:13" outlineLevel="3" x14ac:dyDescent="0.2">
      <c r="B1965" s="4" t="str">
        <f>"0002440070"</f>
        <v>0002440070</v>
      </c>
      <c r="C1965" s="5" t="str">
        <f>"061069"</f>
        <v>061069</v>
      </c>
      <c r="D1965" s="12" t="s">
        <v>330</v>
      </c>
      <c r="E1965" s="14" t="s">
        <v>337</v>
      </c>
      <c r="F1965" s="12" t="s">
        <v>73</v>
      </c>
      <c r="G1965" s="15">
        <v>70</v>
      </c>
      <c r="H1965" s="12" t="s">
        <v>331</v>
      </c>
      <c r="I1965" s="12" t="s">
        <v>58</v>
      </c>
      <c r="K1965" s="16">
        <v>52.58</v>
      </c>
      <c r="L1965" s="16">
        <v>78.400000000000006</v>
      </c>
      <c r="M1965" s="16">
        <v>80.400000000000006</v>
      </c>
    </row>
    <row r="1966" spans="1:13" outlineLevel="3" x14ac:dyDescent="0.2">
      <c r="B1966" s="4" t="str">
        <f>"0002440070"</f>
        <v>0002440070</v>
      </c>
      <c r="C1966" s="5" t="str">
        <f>"569108"</f>
        <v>569108</v>
      </c>
      <c r="D1966" s="12" t="s">
        <v>336</v>
      </c>
      <c r="E1966" s="14" t="s">
        <v>337</v>
      </c>
      <c r="F1966" s="12" t="s">
        <v>73</v>
      </c>
      <c r="G1966" s="15">
        <v>70</v>
      </c>
      <c r="H1966" s="12" t="s">
        <v>331</v>
      </c>
      <c r="I1966" s="12" t="s">
        <v>70</v>
      </c>
      <c r="K1966" s="16">
        <v>52.58</v>
      </c>
      <c r="L1966" s="16">
        <v>78.400000000000006</v>
      </c>
      <c r="M1966" s="16">
        <v>80.400000000000006</v>
      </c>
    </row>
    <row r="1967" spans="1:13" outlineLevel="2" x14ac:dyDescent="0.2"/>
    <row r="1968" spans="1:13" outlineLevel="3" x14ac:dyDescent="0.2">
      <c r="B1968" s="4" t="str">
        <f>"0002450035"</f>
        <v>0002450035</v>
      </c>
      <c r="C1968" s="5" t="str">
        <f>"061093"</f>
        <v>061093</v>
      </c>
      <c r="D1968" s="12" t="s">
        <v>330</v>
      </c>
      <c r="E1968" s="14" t="s">
        <v>338</v>
      </c>
      <c r="F1968" s="12" t="s">
        <v>73</v>
      </c>
      <c r="G1968" s="15">
        <v>35</v>
      </c>
      <c r="H1968" s="12" t="s">
        <v>331</v>
      </c>
      <c r="I1968" s="12" t="s">
        <v>58</v>
      </c>
      <c r="K1968" s="16">
        <v>16.52</v>
      </c>
      <c r="L1968" s="16">
        <v>25.54</v>
      </c>
      <c r="M1968" s="16">
        <v>26.87</v>
      </c>
    </row>
    <row r="1969" spans="1:13" outlineLevel="3" x14ac:dyDescent="0.2">
      <c r="B1969" s="4" t="str">
        <f>"0002450035"</f>
        <v>0002450035</v>
      </c>
      <c r="C1969" s="5" t="str">
        <f>"394957"</f>
        <v>394957</v>
      </c>
      <c r="D1969" s="12" t="s">
        <v>334</v>
      </c>
      <c r="E1969" s="14" t="s">
        <v>338</v>
      </c>
      <c r="F1969" s="12" t="s">
        <v>73</v>
      </c>
      <c r="G1969" s="15">
        <v>35</v>
      </c>
      <c r="H1969" s="12" t="s">
        <v>331</v>
      </c>
      <c r="I1969" s="12" t="s">
        <v>5</v>
      </c>
      <c r="K1969" s="16">
        <v>16.52</v>
      </c>
      <c r="L1969" s="16">
        <v>25.54</v>
      </c>
      <c r="M1969" s="16">
        <v>26.87</v>
      </c>
    </row>
    <row r="1970" spans="1:13" ht="22.5" outlineLevel="3" x14ac:dyDescent="0.2">
      <c r="B1970" s="4" t="str">
        <f>"0002450035"</f>
        <v>0002450035</v>
      </c>
      <c r="C1970" s="5" t="str">
        <f>"480533"</f>
        <v>480533</v>
      </c>
      <c r="D1970" s="12" t="s">
        <v>332</v>
      </c>
      <c r="E1970" s="14" t="s">
        <v>338</v>
      </c>
      <c r="F1970" s="12" t="s">
        <v>73</v>
      </c>
      <c r="G1970" s="15">
        <v>35</v>
      </c>
      <c r="H1970" s="12" t="s">
        <v>331</v>
      </c>
      <c r="I1970" s="12" t="s">
        <v>333</v>
      </c>
      <c r="K1970" s="16">
        <v>16.52</v>
      </c>
      <c r="L1970" s="16">
        <v>25.54</v>
      </c>
      <c r="M1970" s="16">
        <v>26.87</v>
      </c>
    </row>
    <row r="1971" spans="1:13" outlineLevel="3" x14ac:dyDescent="0.2">
      <c r="B1971" s="4" t="str">
        <f>"0002450035"</f>
        <v>0002450035</v>
      </c>
      <c r="C1971" s="5" t="str">
        <f>"537143"</f>
        <v>537143</v>
      </c>
      <c r="D1971" s="12" t="s">
        <v>336</v>
      </c>
      <c r="E1971" s="14" t="s">
        <v>338</v>
      </c>
      <c r="F1971" s="12" t="s">
        <v>73</v>
      </c>
      <c r="G1971" s="15">
        <v>35</v>
      </c>
      <c r="H1971" s="12" t="s">
        <v>331</v>
      </c>
      <c r="I1971" s="12" t="s">
        <v>70</v>
      </c>
      <c r="K1971" s="16">
        <v>16.510000000000002</v>
      </c>
      <c r="L1971" s="16">
        <v>25.53</v>
      </c>
      <c r="M1971" s="16">
        <v>26.87</v>
      </c>
    </row>
    <row r="1972" spans="1:13" ht="22.5" outlineLevel="3" x14ac:dyDescent="0.2">
      <c r="B1972" s="4" t="str">
        <f>"0002450035"</f>
        <v>0002450035</v>
      </c>
      <c r="C1972" s="5" t="str">
        <f>"145052"</f>
        <v>145052</v>
      </c>
      <c r="D1972" s="12" t="s">
        <v>335</v>
      </c>
      <c r="E1972" s="14" t="s">
        <v>338</v>
      </c>
      <c r="F1972" s="12" t="s">
        <v>73</v>
      </c>
      <c r="G1972" s="15">
        <v>35</v>
      </c>
      <c r="H1972" s="12" t="s">
        <v>331</v>
      </c>
      <c r="I1972" s="12" t="s">
        <v>60</v>
      </c>
      <c r="K1972" s="16">
        <v>16.399999999999999</v>
      </c>
      <c r="L1972" s="16">
        <v>25.37</v>
      </c>
      <c r="M1972" s="16">
        <v>26.87</v>
      </c>
    </row>
    <row r="1973" spans="1:13" outlineLevel="1" x14ac:dyDescent="0.2">
      <c r="A1973" s="3"/>
    </row>
    <row r="1974" spans="1:13" outlineLevel="2" x14ac:dyDescent="0.2">
      <c r="A1974" s="3" t="s">
        <v>1508</v>
      </c>
    </row>
    <row r="1975" spans="1:13" ht="33.75" outlineLevel="3" x14ac:dyDescent="0.2">
      <c r="B1975" s="4" t="str">
        <f>"0002470010"</f>
        <v>0002470010</v>
      </c>
      <c r="C1975" s="5" t="str">
        <f>"175612"</f>
        <v>175612</v>
      </c>
      <c r="D1975" s="12" t="s">
        <v>339</v>
      </c>
      <c r="E1975" s="14" t="s">
        <v>66</v>
      </c>
      <c r="F1975" s="12" t="s">
        <v>3</v>
      </c>
      <c r="G1975" s="15">
        <v>10</v>
      </c>
      <c r="H1975" s="12" t="s">
        <v>340</v>
      </c>
      <c r="I1975" s="12" t="s">
        <v>333</v>
      </c>
      <c r="K1975" s="16">
        <v>19.61</v>
      </c>
      <c r="L1975" s="16">
        <v>30.13</v>
      </c>
      <c r="M1975" s="16">
        <v>31.63</v>
      </c>
    </row>
    <row r="1976" spans="1:13" ht="33.75" outlineLevel="3" x14ac:dyDescent="0.2">
      <c r="B1976" s="4" t="str">
        <f>"0002470010"</f>
        <v>0002470010</v>
      </c>
      <c r="C1976" s="5" t="str">
        <f>"183219"</f>
        <v>183219</v>
      </c>
      <c r="D1976" s="12" t="s">
        <v>341</v>
      </c>
      <c r="E1976" s="14" t="s">
        <v>66</v>
      </c>
      <c r="F1976" s="12" t="s">
        <v>3</v>
      </c>
      <c r="G1976" s="15">
        <v>10</v>
      </c>
      <c r="H1976" s="12" t="s">
        <v>340</v>
      </c>
      <c r="I1976" s="12" t="s">
        <v>298</v>
      </c>
      <c r="K1976" s="16">
        <v>19.61</v>
      </c>
      <c r="L1976" s="16">
        <v>30.13</v>
      </c>
      <c r="M1976" s="16">
        <v>31.63</v>
      </c>
    </row>
    <row r="1977" spans="1:13" ht="33.75" outlineLevel="3" x14ac:dyDescent="0.2">
      <c r="B1977" s="4" t="str">
        <f>"0002470010"</f>
        <v>0002470010</v>
      </c>
      <c r="C1977" s="5" t="str">
        <f>"463695"</f>
        <v>463695</v>
      </c>
      <c r="D1977" s="12" t="s">
        <v>342</v>
      </c>
      <c r="E1977" s="14" t="s">
        <v>66</v>
      </c>
      <c r="F1977" s="12" t="s">
        <v>3</v>
      </c>
      <c r="G1977" s="15">
        <v>10</v>
      </c>
      <c r="H1977" s="12" t="s">
        <v>340</v>
      </c>
      <c r="I1977" s="12" t="s">
        <v>58</v>
      </c>
      <c r="K1977" s="16">
        <v>19.61</v>
      </c>
      <c r="L1977" s="16">
        <v>30.13</v>
      </c>
      <c r="M1977" s="16">
        <v>31.63</v>
      </c>
    </row>
    <row r="1978" spans="1:13" outlineLevel="2" x14ac:dyDescent="0.2"/>
    <row r="1979" spans="1:13" ht="33.75" outlineLevel="3" x14ac:dyDescent="0.2">
      <c r="B1979" s="4" t="str">
        <f>"0002470042"</f>
        <v>0002470042</v>
      </c>
      <c r="C1979" s="5" t="str">
        <f>"377333"</f>
        <v>377333</v>
      </c>
      <c r="D1979" s="12" t="s">
        <v>339</v>
      </c>
      <c r="E1979" s="14" t="s">
        <v>66</v>
      </c>
      <c r="F1979" s="12" t="s">
        <v>3</v>
      </c>
      <c r="G1979" s="15">
        <v>42</v>
      </c>
      <c r="H1979" s="12" t="s">
        <v>340</v>
      </c>
      <c r="I1979" s="12" t="s">
        <v>333</v>
      </c>
      <c r="K1979" s="16">
        <v>41.84</v>
      </c>
      <c r="L1979" s="16">
        <v>63.14</v>
      </c>
      <c r="M1979" s="16">
        <v>65.14</v>
      </c>
    </row>
    <row r="1980" spans="1:13" ht="33.75" outlineLevel="3" x14ac:dyDescent="0.2">
      <c r="B1980" s="4" t="str">
        <f>"0002470042"</f>
        <v>0002470042</v>
      </c>
      <c r="C1980" s="5" t="str">
        <f>"463869"</f>
        <v>463869</v>
      </c>
      <c r="D1980" s="12" t="s">
        <v>342</v>
      </c>
      <c r="E1980" s="14" t="s">
        <v>66</v>
      </c>
      <c r="F1980" s="12" t="s">
        <v>3</v>
      </c>
      <c r="G1980" s="15">
        <v>42</v>
      </c>
      <c r="H1980" s="12" t="s">
        <v>340</v>
      </c>
      <c r="I1980" s="12" t="s">
        <v>58</v>
      </c>
      <c r="K1980" s="16">
        <v>41.84</v>
      </c>
      <c r="L1980" s="16">
        <v>63.14</v>
      </c>
      <c r="M1980" s="16">
        <v>65.14</v>
      </c>
    </row>
    <row r="1981" spans="1:13" ht="33.75" outlineLevel="3" x14ac:dyDescent="0.2">
      <c r="B1981" s="4" t="str">
        <f>"0002470042"</f>
        <v>0002470042</v>
      </c>
      <c r="C1981" s="5" t="str">
        <f>"525603"</f>
        <v>525603</v>
      </c>
      <c r="D1981" s="12" t="s">
        <v>341</v>
      </c>
      <c r="E1981" s="14" t="s">
        <v>66</v>
      </c>
      <c r="F1981" s="12" t="s">
        <v>3</v>
      </c>
      <c r="G1981" s="15">
        <v>42</v>
      </c>
      <c r="H1981" s="12" t="s">
        <v>340</v>
      </c>
      <c r="I1981" s="12" t="s">
        <v>298</v>
      </c>
      <c r="K1981" s="16">
        <v>41.84</v>
      </c>
      <c r="L1981" s="16">
        <v>63.14</v>
      </c>
      <c r="M1981" s="16">
        <v>65.14</v>
      </c>
    </row>
    <row r="1982" spans="1:13" outlineLevel="1" x14ac:dyDescent="0.2">
      <c r="A1982" s="3"/>
    </row>
    <row r="1983" spans="1:13" outlineLevel="2" x14ac:dyDescent="0.2">
      <c r="A1983" s="3" t="s">
        <v>1509</v>
      </c>
    </row>
    <row r="1984" spans="1:13" ht="45" outlineLevel="3" x14ac:dyDescent="0.2">
      <c r="B1984" s="4" t="str">
        <f>"0011570005"</f>
        <v>0011570005</v>
      </c>
      <c r="C1984" s="5" t="str">
        <f>"090747"</f>
        <v>090747</v>
      </c>
      <c r="D1984" s="12" t="s">
        <v>1146</v>
      </c>
      <c r="E1984" s="14" t="s">
        <v>111</v>
      </c>
      <c r="F1984" s="12" t="s">
        <v>216</v>
      </c>
      <c r="G1984" s="15">
        <v>5</v>
      </c>
      <c r="H1984" s="12" t="s">
        <v>1147</v>
      </c>
      <c r="I1984" s="12" t="s">
        <v>348</v>
      </c>
      <c r="K1984" s="16">
        <v>14.65</v>
      </c>
      <c r="L1984" s="16">
        <v>22.77</v>
      </c>
      <c r="M1984" s="16">
        <v>24.27</v>
      </c>
    </row>
    <row r="1985" spans="2:13" outlineLevel="2" x14ac:dyDescent="0.2"/>
    <row r="1986" spans="2:13" ht="22.5" outlineLevel="3" x14ac:dyDescent="0.2">
      <c r="B1986" s="4" t="str">
        <f>"0011580005"</f>
        <v>0011580005</v>
      </c>
      <c r="C1986" s="5" t="str">
        <f>"031303"</f>
        <v>031303</v>
      </c>
      <c r="D1986" s="12" t="s">
        <v>1148</v>
      </c>
      <c r="E1986" s="14" t="s">
        <v>14</v>
      </c>
      <c r="F1986" s="12" t="s">
        <v>216</v>
      </c>
      <c r="G1986" s="15">
        <v>5</v>
      </c>
      <c r="H1986" s="12" t="s">
        <v>1147</v>
      </c>
      <c r="I1986" s="12" t="s">
        <v>572</v>
      </c>
      <c r="K1986" s="16">
        <v>57.57</v>
      </c>
      <c r="L1986" s="16">
        <v>85.25</v>
      </c>
      <c r="M1986" s="16">
        <v>8.1199999999999992</v>
      </c>
    </row>
    <row r="1987" spans="2:13" ht="45" outlineLevel="3" x14ac:dyDescent="0.2">
      <c r="B1987" s="4" t="str">
        <f>"0011580005"</f>
        <v>0011580005</v>
      </c>
      <c r="C1987" s="5" t="str">
        <f>"090758"</f>
        <v>090758</v>
      </c>
      <c r="D1987" s="12" t="s">
        <v>1146</v>
      </c>
      <c r="E1987" s="14" t="s">
        <v>14</v>
      </c>
      <c r="F1987" s="12" t="s">
        <v>216</v>
      </c>
      <c r="G1987" s="15">
        <v>5</v>
      </c>
      <c r="H1987" s="12" t="s">
        <v>1147</v>
      </c>
      <c r="I1987" s="12" t="s">
        <v>348</v>
      </c>
      <c r="K1987" s="16">
        <v>5.45</v>
      </c>
      <c r="L1987" s="16">
        <v>8.69</v>
      </c>
      <c r="M1987" s="16">
        <v>8.1199999999999992</v>
      </c>
    </row>
    <row r="1988" spans="2:13" outlineLevel="3" x14ac:dyDescent="0.2">
      <c r="B1988" s="4" t="str">
        <f>"0011580005"</f>
        <v>0011580005</v>
      </c>
      <c r="C1988" s="5" t="str">
        <f>"471119"</f>
        <v>471119</v>
      </c>
      <c r="D1988" s="12" t="s">
        <v>1150</v>
      </c>
      <c r="E1988" s="14" t="s">
        <v>14</v>
      </c>
      <c r="F1988" s="12" t="s">
        <v>216</v>
      </c>
      <c r="G1988" s="15">
        <v>5</v>
      </c>
      <c r="H1988" s="12" t="s">
        <v>1147</v>
      </c>
      <c r="I1988" s="12" t="s">
        <v>5</v>
      </c>
      <c r="K1988" s="16">
        <v>5.45</v>
      </c>
      <c r="L1988" s="16">
        <v>8.69</v>
      </c>
      <c r="M1988" s="16">
        <v>8.1199999999999992</v>
      </c>
    </row>
    <row r="1989" spans="2:13" ht="22.5" outlineLevel="3" x14ac:dyDescent="0.2">
      <c r="B1989" s="4" t="str">
        <f>"0011580005"</f>
        <v>0011580005</v>
      </c>
      <c r="C1989" s="5" t="str">
        <f>"439108"</f>
        <v>439108</v>
      </c>
      <c r="D1989" s="12" t="s">
        <v>1149</v>
      </c>
      <c r="E1989" s="14" t="s">
        <v>14</v>
      </c>
      <c r="F1989" s="12" t="s">
        <v>216</v>
      </c>
      <c r="G1989" s="15">
        <v>5</v>
      </c>
      <c r="H1989" s="12" t="s">
        <v>1147</v>
      </c>
      <c r="I1989" s="12" t="s">
        <v>79</v>
      </c>
      <c r="K1989" s="16">
        <v>4.1500000000000004</v>
      </c>
      <c r="L1989" s="16">
        <v>6.62</v>
      </c>
      <c r="M1989" s="16">
        <v>8.1199999999999992</v>
      </c>
    </row>
    <row r="1990" spans="2:13" ht="22.5" outlineLevel="3" x14ac:dyDescent="0.2">
      <c r="B1990" s="4" t="str">
        <f>"0011580005"</f>
        <v>0011580005</v>
      </c>
      <c r="C1990" s="5" t="str">
        <f>"477058"</f>
        <v>477058</v>
      </c>
      <c r="D1990" s="12" t="s">
        <v>1149</v>
      </c>
      <c r="E1990" s="14" t="s">
        <v>14</v>
      </c>
      <c r="F1990" s="12" t="s">
        <v>216</v>
      </c>
      <c r="G1990" s="15">
        <v>5</v>
      </c>
      <c r="H1990" s="12" t="s">
        <v>1147</v>
      </c>
      <c r="I1990" s="12" t="s">
        <v>79</v>
      </c>
      <c r="K1990" s="16">
        <v>4.1500000000000004</v>
      </c>
      <c r="L1990" s="16">
        <v>6.62</v>
      </c>
      <c r="M1990" s="16">
        <v>8.1199999999999992</v>
      </c>
    </row>
    <row r="1991" spans="2:13" outlineLevel="2" x14ac:dyDescent="0.2"/>
    <row r="1992" spans="2:13" outlineLevel="3" x14ac:dyDescent="0.2">
      <c r="B1992" s="4" t="str">
        <f>"0011580020"</f>
        <v>0011580020</v>
      </c>
      <c r="C1992" s="5" t="str">
        <f>"033008"</f>
        <v>033008</v>
      </c>
      <c r="D1992" s="12" t="s">
        <v>1150</v>
      </c>
      <c r="E1992" s="14" t="s">
        <v>14</v>
      </c>
      <c r="F1992" s="12" t="s">
        <v>216</v>
      </c>
      <c r="G1992" s="15">
        <v>20</v>
      </c>
      <c r="H1992" s="12" t="s">
        <v>1147</v>
      </c>
      <c r="I1992" s="12" t="s">
        <v>5</v>
      </c>
      <c r="K1992" s="16">
        <v>137.66</v>
      </c>
      <c r="L1992" s="16">
        <v>191.33</v>
      </c>
      <c r="M1992" s="16">
        <v>189.31</v>
      </c>
    </row>
    <row r="1993" spans="2:13" ht="45" outlineLevel="3" x14ac:dyDescent="0.2">
      <c r="B1993" s="4" t="str">
        <f>"0011580020"</f>
        <v>0011580020</v>
      </c>
      <c r="C1993" s="5" t="str">
        <f>"090770"</f>
        <v>090770</v>
      </c>
      <c r="D1993" s="12" t="s">
        <v>1146</v>
      </c>
      <c r="E1993" s="14" t="s">
        <v>14</v>
      </c>
      <c r="F1993" s="12" t="s">
        <v>216</v>
      </c>
      <c r="G1993" s="15">
        <v>20</v>
      </c>
      <c r="H1993" s="12" t="s">
        <v>1147</v>
      </c>
      <c r="I1993" s="12" t="s">
        <v>348</v>
      </c>
      <c r="K1993" s="16">
        <v>137.66</v>
      </c>
      <c r="L1993" s="16">
        <v>191.33</v>
      </c>
      <c r="M1993" s="16">
        <v>189.31</v>
      </c>
    </row>
    <row r="1994" spans="2:13" ht="22.5" outlineLevel="3" x14ac:dyDescent="0.2">
      <c r="B1994" s="4" t="str">
        <f>"0011580020"</f>
        <v>0011580020</v>
      </c>
      <c r="C1994" s="5" t="str">
        <f>"050830"</f>
        <v>050830</v>
      </c>
      <c r="D1994" s="12" t="s">
        <v>1149</v>
      </c>
      <c r="E1994" s="14" t="s">
        <v>14</v>
      </c>
      <c r="F1994" s="12" t="s">
        <v>216</v>
      </c>
      <c r="G1994" s="15">
        <v>20</v>
      </c>
      <c r="H1994" s="12" t="s">
        <v>1147</v>
      </c>
      <c r="I1994" s="12" t="s">
        <v>79</v>
      </c>
      <c r="J1994" s="2" t="s">
        <v>1400</v>
      </c>
      <c r="K1994" s="16">
        <v>134.47999999999999</v>
      </c>
      <c r="L1994" s="16">
        <v>187.31</v>
      </c>
      <c r="M1994" s="16">
        <v>189.31</v>
      </c>
    </row>
    <row r="1995" spans="2:13" ht="22.5" outlineLevel="3" x14ac:dyDescent="0.2">
      <c r="B1995" s="4" t="str">
        <f>"0011580020"</f>
        <v>0011580020</v>
      </c>
      <c r="C1995" s="5" t="str">
        <f>"506713"</f>
        <v>506713</v>
      </c>
      <c r="D1995" s="12" t="s">
        <v>1149</v>
      </c>
      <c r="E1995" s="14" t="s">
        <v>14</v>
      </c>
      <c r="F1995" s="12" t="s">
        <v>216</v>
      </c>
      <c r="G1995" s="15">
        <v>20</v>
      </c>
      <c r="H1995" s="12" t="s">
        <v>1147</v>
      </c>
      <c r="I1995" s="12" t="s">
        <v>79</v>
      </c>
      <c r="K1995" s="16">
        <v>134.47999999999999</v>
      </c>
      <c r="L1995" s="16">
        <v>187.31</v>
      </c>
      <c r="M1995" s="16">
        <v>189.31</v>
      </c>
    </row>
    <row r="1996" spans="2:13" outlineLevel="2" x14ac:dyDescent="0.2"/>
    <row r="1997" spans="2:13" ht="22.5" outlineLevel="3" x14ac:dyDescent="0.2">
      <c r="B1997" s="4" t="str">
        <f>"0011590005"</f>
        <v>0011590005</v>
      </c>
      <c r="C1997" s="5" t="str">
        <f>"031325"</f>
        <v>031325</v>
      </c>
      <c r="D1997" s="12" t="s">
        <v>1148</v>
      </c>
      <c r="E1997" s="14" t="s">
        <v>118</v>
      </c>
      <c r="F1997" s="12" t="s">
        <v>216</v>
      </c>
      <c r="G1997" s="15">
        <v>5</v>
      </c>
      <c r="H1997" s="12" t="s">
        <v>1147</v>
      </c>
      <c r="I1997" s="12" t="s">
        <v>572</v>
      </c>
      <c r="K1997" s="16">
        <v>275.60000000000002</v>
      </c>
      <c r="L1997" s="16">
        <v>365.83</v>
      </c>
      <c r="M1997" s="16">
        <v>227.98</v>
      </c>
    </row>
    <row r="1998" spans="2:13" ht="45" outlineLevel="3" x14ac:dyDescent="0.2">
      <c r="B1998" s="4" t="str">
        <f>"0011590005"</f>
        <v>0011590005</v>
      </c>
      <c r="C1998" s="5" t="str">
        <f>"090781"</f>
        <v>090781</v>
      </c>
      <c r="D1998" s="12" t="s">
        <v>1146</v>
      </c>
      <c r="E1998" s="14" t="s">
        <v>118</v>
      </c>
      <c r="F1998" s="12" t="s">
        <v>216</v>
      </c>
      <c r="G1998" s="15">
        <v>5</v>
      </c>
      <c r="H1998" s="12" t="s">
        <v>1147</v>
      </c>
      <c r="I1998" s="12" t="s">
        <v>348</v>
      </c>
      <c r="K1998" s="16">
        <v>169.7</v>
      </c>
      <c r="L1998" s="16">
        <v>231.87</v>
      </c>
      <c r="M1998" s="16">
        <v>227.98</v>
      </c>
    </row>
    <row r="1999" spans="2:13" outlineLevel="3" x14ac:dyDescent="0.2">
      <c r="B1999" s="4" t="str">
        <f>"0011590005"</f>
        <v>0011590005</v>
      </c>
      <c r="C1999" s="5" t="str">
        <f>"148003"</f>
        <v>148003</v>
      </c>
      <c r="D1999" s="12" t="s">
        <v>1150</v>
      </c>
      <c r="E1999" s="14" t="s">
        <v>118</v>
      </c>
      <c r="F1999" s="12" t="s">
        <v>216</v>
      </c>
      <c r="G1999" s="15">
        <v>5</v>
      </c>
      <c r="H1999" s="12" t="s">
        <v>1147</v>
      </c>
      <c r="I1999" s="12" t="s">
        <v>5</v>
      </c>
      <c r="K1999" s="16">
        <v>169.7</v>
      </c>
      <c r="L1999" s="16">
        <v>231.87</v>
      </c>
      <c r="M1999" s="16">
        <v>227.98</v>
      </c>
    </row>
    <row r="2000" spans="2:13" ht="22.5" outlineLevel="3" x14ac:dyDescent="0.2">
      <c r="B2000" s="4" t="str">
        <f>"0011590005"</f>
        <v>0011590005</v>
      </c>
      <c r="C2000" s="5" t="str">
        <f>"520936"</f>
        <v>520936</v>
      </c>
      <c r="D2000" s="12" t="s">
        <v>1149</v>
      </c>
      <c r="E2000" s="14" t="s">
        <v>118</v>
      </c>
      <c r="F2000" s="12" t="s">
        <v>216</v>
      </c>
      <c r="G2000" s="15">
        <v>5</v>
      </c>
      <c r="H2000" s="12" t="s">
        <v>1147</v>
      </c>
      <c r="I2000" s="12" t="s">
        <v>79</v>
      </c>
      <c r="J2000" s="2" t="s">
        <v>1400</v>
      </c>
      <c r="K2000" s="16">
        <v>165.05</v>
      </c>
      <c r="L2000" s="16">
        <v>225.98</v>
      </c>
      <c r="M2000" s="16">
        <v>227.98</v>
      </c>
    </row>
    <row r="2001" spans="2:13" ht="22.5" outlineLevel="3" x14ac:dyDescent="0.2">
      <c r="B2001" s="4" t="str">
        <f>"0011590005"</f>
        <v>0011590005</v>
      </c>
      <c r="C2001" s="5" t="str">
        <f>"107454"</f>
        <v>107454</v>
      </c>
      <c r="D2001" s="12" t="s">
        <v>1149</v>
      </c>
      <c r="E2001" s="14" t="s">
        <v>118</v>
      </c>
      <c r="F2001" s="12" t="s">
        <v>216</v>
      </c>
      <c r="G2001" s="15">
        <v>5</v>
      </c>
      <c r="H2001" s="12" t="s">
        <v>1147</v>
      </c>
      <c r="I2001" s="12" t="s">
        <v>79</v>
      </c>
      <c r="K2001" s="16">
        <v>165.05</v>
      </c>
      <c r="L2001" s="16">
        <v>225.98</v>
      </c>
      <c r="M2001" s="16">
        <v>227.98</v>
      </c>
    </row>
    <row r="2002" spans="2:13" outlineLevel="2" x14ac:dyDescent="0.2">
      <c r="J2002" s="6"/>
    </row>
    <row r="2003" spans="2:13" ht="45" outlineLevel="3" x14ac:dyDescent="0.2">
      <c r="B2003" s="4" t="str">
        <f>"0011590020"</f>
        <v>0011590020</v>
      </c>
      <c r="C2003" s="5" t="str">
        <f>"139882"</f>
        <v>139882</v>
      </c>
      <c r="D2003" s="12" t="s">
        <v>1146</v>
      </c>
      <c r="E2003" s="14" t="s">
        <v>118</v>
      </c>
      <c r="F2003" s="12" t="s">
        <v>216</v>
      </c>
      <c r="G2003" s="15">
        <v>20</v>
      </c>
      <c r="H2003" s="12" t="s">
        <v>1147</v>
      </c>
      <c r="I2003" s="12" t="s">
        <v>348</v>
      </c>
      <c r="J2003" s="6"/>
      <c r="K2003" s="16">
        <v>881.87</v>
      </c>
      <c r="L2003" s="16">
        <v>1107.3800000000001</v>
      </c>
      <c r="M2003" s="16">
        <v>1103.67</v>
      </c>
    </row>
    <row r="2004" spans="2:13" outlineLevel="3" x14ac:dyDescent="0.2">
      <c r="B2004" s="4" t="str">
        <f>"0011590020"</f>
        <v>0011590020</v>
      </c>
      <c r="C2004" s="5" t="str">
        <f>"507028"</f>
        <v>507028</v>
      </c>
      <c r="D2004" s="12" t="s">
        <v>1150</v>
      </c>
      <c r="E2004" s="14" t="s">
        <v>118</v>
      </c>
      <c r="F2004" s="12" t="s">
        <v>216</v>
      </c>
      <c r="G2004" s="15">
        <v>20</v>
      </c>
      <c r="H2004" s="12" t="s">
        <v>1147</v>
      </c>
      <c r="I2004" s="12" t="s">
        <v>5</v>
      </c>
      <c r="J2004" s="6"/>
      <c r="K2004" s="16">
        <v>881.87</v>
      </c>
      <c r="L2004" s="16">
        <v>1107.3800000000001</v>
      </c>
      <c r="M2004" s="16">
        <v>1103.67</v>
      </c>
    </row>
    <row r="2005" spans="2:13" ht="22.5" outlineLevel="3" x14ac:dyDescent="0.2">
      <c r="B2005" s="4" t="str">
        <f>"0011590020"</f>
        <v>0011590020</v>
      </c>
      <c r="C2005" s="5" t="str">
        <f>"492646"</f>
        <v>492646</v>
      </c>
      <c r="D2005" s="12" t="s">
        <v>1149</v>
      </c>
      <c r="E2005" s="14" t="s">
        <v>118</v>
      </c>
      <c r="F2005" s="12" t="s">
        <v>216</v>
      </c>
      <c r="G2005" s="15">
        <v>20</v>
      </c>
      <c r="H2005" s="12" t="s">
        <v>1147</v>
      </c>
      <c r="I2005" s="12" t="s">
        <v>79</v>
      </c>
      <c r="J2005" s="2" t="s">
        <v>1400</v>
      </c>
      <c r="K2005" s="16">
        <v>877.15</v>
      </c>
      <c r="L2005" s="16">
        <v>1101.67</v>
      </c>
      <c r="M2005" s="16">
        <v>1103.67</v>
      </c>
    </row>
    <row r="2006" spans="2:13" ht="22.5" outlineLevel="3" x14ac:dyDescent="0.2">
      <c r="B2006" s="4" t="str">
        <f>"0011590020"</f>
        <v>0011590020</v>
      </c>
      <c r="C2006" s="5" t="str">
        <f>"404300"</f>
        <v>404300</v>
      </c>
      <c r="D2006" s="12" t="s">
        <v>1149</v>
      </c>
      <c r="E2006" s="14" t="s">
        <v>118</v>
      </c>
      <c r="F2006" s="12" t="s">
        <v>216</v>
      </c>
      <c r="G2006" s="15">
        <v>20</v>
      </c>
      <c r="H2006" s="12" t="s">
        <v>1147</v>
      </c>
      <c r="I2006" s="12" t="s">
        <v>79</v>
      </c>
      <c r="J2006" s="6"/>
      <c r="K2006" s="16">
        <v>877.15</v>
      </c>
      <c r="L2006" s="16">
        <v>1101.67</v>
      </c>
      <c r="M2006" s="16">
        <v>1103.67</v>
      </c>
    </row>
    <row r="2007" spans="2:13" ht="45" outlineLevel="3" x14ac:dyDescent="0.2">
      <c r="B2007" s="4" t="str">
        <f>"0011600005"</f>
        <v>0011600005</v>
      </c>
      <c r="C2007" s="5" t="str">
        <f>"090792"</f>
        <v>090792</v>
      </c>
      <c r="D2007" s="12" t="s">
        <v>1146</v>
      </c>
      <c r="E2007" s="14" t="s">
        <v>1151</v>
      </c>
      <c r="F2007" s="12" t="s">
        <v>216</v>
      </c>
      <c r="G2007" s="15">
        <v>5</v>
      </c>
      <c r="H2007" s="12" t="s">
        <v>1147</v>
      </c>
      <c r="I2007" s="12" t="s">
        <v>348</v>
      </c>
      <c r="K2007" s="16">
        <v>259.99</v>
      </c>
      <c r="L2007" s="16">
        <v>346.08</v>
      </c>
      <c r="M2007" s="16">
        <v>340.94</v>
      </c>
    </row>
    <row r="2008" spans="2:13" outlineLevel="3" x14ac:dyDescent="0.2">
      <c r="B2008" s="4" t="str">
        <f>"0011600005"</f>
        <v>0011600005</v>
      </c>
      <c r="C2008" s="5" t="str">
        <f>"514263"</f>
        <v>514263</v>
      </c>
      <c r="D2008" s="12" t="s">
        <v>1150</v>
      </c>
      <c r="E2008" s="14" t="s">
        <v>1151</v>
      </c>
      <c r="F2008" s="12" t="s">
        <v>216</v>
      </c>
      <c r="G2008" s="15">
        <v>5</v>
      </c>
      <c r="H2008" s="12" t="s">
        <v>1147</v>
      </c>
      <c r="I2008" s="12" t="s">
        <v>5</v>
      </c>
      <c r="K2008" s="16">
        <v>259.99</v>
      </c>
      <c r="L2008" s="16">
        <v>346.08</v>
      </c>
      <c r="M2008" s="16">
        <v>340.94</v>
      </c>
    </row>
    <row r="2009" spans="2:13" ht="22.5" outlineLevel="3" x14ac:dyDescent="0.2">
      <c r="B2009" s="4" t="str">
        <f>"0011600005"</f>
        <v>0011600005</v>
      </c>
      <c r="C2009" s="5" t="str">
        <f>"455765"</f>
        <v>455765</v>
      </c>
      <c r="D2009" s="12" t="s">
        <v>1149</v>
      </c>
      <c r="E2009" s="14" t="s">
        <v>1151</v>
      </c>
      <c r="F2009" s="12" t="s">
        <v>216</v>
      </c>
      <c r="G2009" s="15">
        <v>5</v>
      </c>
      <c r="H2009" s="12" t="s">
        <v>1147</v>
      </c>
      <c r="I2009" s="12" t="s">
        <v>79</v>
      </c>
      <c r="J2009" s="2" t="s">
        <v>1400</v>
      </c>
      <c r="K2009" s="16">
        <v>254.35</v>
      </c>
      <c r="L2009" s="16">
        <v>338.94</v>
      </c>
      <c r="M2009" s="16">
        <v>340.94</v>
      </c>
    </row>
    <row r="2010" spans="2:13" ht="22.5" outlineLevel="3" x14ac:dyDescent="0.2">
      <c r="B2010" s="4" t="str">
        <f>"0011600005"</f>
        <v>0011600005</v>
      </c>
      <c r="C2010" s="5" t="str">
        <f>"416072"</f>
        <v>416072</v>
      </c>
      <c r="D2010" s="12" t="s">
        <v>1149</v>
      </c>
      <c r="E2010" s="14" t="s">
        <v>1151</v>
      </c>
      <c r="F2010" s="12" t="s">
        <v>216</v>
      </c>
      <c r="G2010" s="15">
        <v>5</v>
      </c>
      <c r="H2010" s="12" t="s">
        <v>1147</v>
      </c>
      <c r="I2010" s="12" t="s">
        <v>79</v>
      </c>
      <c r="K2010" s="16">
        <v>254.35</v>
      </c>
      <c r="L2010" s="16">
        <v>338.94</v>
      </c>
      <c r="M2010" s="16">
        <v>340.94</v>
      </c>
    </row>
    <row r="2011" spans="2:13" outlineLevel="2" x14ac:dyDescent="0.2"/>
    <row r="2012" spans="2:13" outlineLevel="3" x14ac:dyDescent="0.2">
      <c r="B2012" s="4" t="str">
        <f>"0011610005"</f>
        <v>0011610005</v>
      </c>
      <c r="C2012" s="5" t="str">
        <f>"088792"</f>
        <v>088792</v>
      </c>
      <c r="D2012" s="12" t="s">
        <v>1150</v>
      </c>
      <c r="E2012" s="14" t="s">
        <v>1152</v>
      </c>
      <c r="F2012" s="12" t="s">
        <v>216</v>
      </c>
      <c r="G2012" s="15">
        <v>5</v>
      </c>
      <c r="H2012" s="12" t="s">
        <v>1147</v>
      </c>
      <c r="I2012" s="12" t="s">
        <v>5</v>
      </c>
      <c r="K2012" s="16">
        <v>362.23</v>
      </c>
      <c r="L2012" s="16">
        <v>475.41</v>
      </c>
      <c r="M2012" s="16">
        <v>470.11</v>
      </c>
    </row>
    <row r="2013" spans="2:13" ht="45" outlineLevel="3" x14ac:dyDescent="0.2">
      <c r="B2013" s="4" t="str">
        <f>"0011610005"</f>
        <v>0011610005</v>
      </c>
      <c r="C2013" s="5" t="str">
        <f>"090804"</f>
        <v>090804</v>
      </c>
      <c r="D2013" s="12" t="s">
        <v>1146</v>
      </c>
      <c r="E2013" s="14" t="s">
        <v>1152</v>
      </c>
      <c r="F2013" s="12" t="s">
        <v>216</v>
      </c>
      <c r="G2013" s="15">
        <v>5</v>
      </c>
      <c r="H2013" s="12" t="s">
        <v>1147</v>
      </c>
      <c r="I2013" s="12" t="s">
        <v>348</v>
      </c>
      <c r="K2013" s="16">
        <v>362.23</v>
      </c>
      <c r="L2013" s="16">
        <v>475.41</v>
      </c>
      <c r="M2013" s="16">
        <v>470.11</v>
      </c>
    </row>
    <row r="2014" spans="2:13" ht="22.5" outlineLevel="3" x14ac:dyDescent="0.2">
      <c r="B2014" s="4" t="str">
        <f>"0011610005"</f>
        <v>0011610005</v>
      </c>
      <c r="C2014" s="5" t="str">
        <f>"527577"</f>
        <v>527577</v>
      </c>
      <c r="D2014" s="12" t="s">
        <v>1149</v>
      </c>
      <c r="E2014" s="14" t="s">
        <v>1152</v>
      </c>
      <c r="F2014" s="12" t="s">
        <v>216</v>
      </c>
      <c r="G2014" s="15">
        <v>5</v>
      </c>
      <c r="H2014" s="12" t="s">
        <v>1147</v>
      </c>
      <c r="I2014" s="12" t="s">
        <v>79</v>
      </c>
      <c r="J2014" s="2" t="s">
        <v>1400</v>
      </c>
      <c r="K2014" s="16">
        <v>356.45</v>
      </c>
      <c r="L2014" s="16">
        <v>468.11</v>
      </c>
      <c r="M2014" s="16">
        <v>470.11</v>
      </c>
    </row>
    <row r="2015" spans="2:13" ht="22.5" outlineLevel="3" x14ac:dyDescent="0.2">
      <c r="B2015" s="4" t="str">
        <f>"0011610005"</f>
        <v>0011610005</v>
      </c>
      <c r="C2015" s="5" t="str">
        <f>"140284"</f>
        <v>140284</v>
      </c>
      <c r="D2015" s="12" t="s">
        <v>1149</v>
      </c>
      <c r="E2015" s="14" t="s">
        <v>1152</v>
      </c>
      <c r="F2015" s="12" t="s">
        <v>216</v>
      </c>
      <c r="G2015" s="15">
        <v>5</v>
      </c>
      <c r="H2015" s="12" t="s">
        <v>1147</v>
      </c>
      <c r="I2015" s="12" t="s">
        <v>79</v>
      </c>
      <c r="K2015" s="16">
        <v>356.45</v>
      </c>
      <c r="L2015" s="16">
        <v>468.11</v>
      </c>
      <c r="M2015" s="16">
        <v>470.11</v>
      </c>
    </row>
    <row r="2016" spans="2:13" outlineLevel="2" x14ac:dyDescent="0.2"/>
    <row r="2017" spans="1:13" ht="45" outlineLevel="3" x14ac:dyDescent="0.2">
      <c r="B2017" s="4" t="str">
        <f>"0011620005"</f>
        <v>0011620005</v>
      </c>
      <c r="C2017" s="5" t="str">
        <f>"090816"</f>
        <v>090816</v>
      </c>
      <c r="D2017" s="12" t="s">
        <v>1146</v>
      </c>
      <c r="E2017" s="14" t="s">
        <v>295</v>
      </c>
      <c r="F2017" s="12" t="s">
        <v>216</v>
      </c>
      <c r="G2017" s="15">
        <v>5</v>
      </c>
      <c r="H2017" s="12" t="s">
        <v>1147</v>
      </c>
      <c r="I2017" s="12" t="s">
        <v>348</v>
      </c>
      <c r="K2017" s="16">
        <v>527.05999999999995</v>
      </c>
      <c r="L2017" s="16">
        <v>678.06</v>
      </c>
      <c r="M2017" s="16">
        <v>673.15</v>
      </c>
    </row>
    <row r="2018" spans="1:13" outlineLevel="3" x14ac:dyDescent="0.2">
      <c r="B2018" s="4" t="str">
        <f>"0011620005"</f>
        <v>0011620005</v>
      </c>
      <c r="C2018" s="5" t="str">
        <f>"469449"</f>
        <v>469449</v>
      </c>
      <c r="D2018" s="12" t="s">
        <v>1150</v>
      </c>
      <c r="E2018" s="14" t="s">
        <v>295</v>
      </c>
      <c r="F2018" s="12" t="s">
        <v>216</v>
      </c>
      <c r="G2018" s="15">
        <v>5</v>
      </c>
      <c r="H2018" s="12" t="s">
        <v>1147</v>
      </c>
      <c r="I2018" s="12" t="s">
        <v>5</v>
      </c>
      <c r="K2018" s="16">
        <v>527.05999999999995</v>
      </c>
      <c r="L2018" s="16">
        <v>678.06</v>
      </c>
      <c r="M2018" s="16">
        <v>673.15</v>
      </c>
    </row>
    <row r="2019" spans="1:13" ht="22.5" outlineLevel="3" x14ac:dyDescent="0.2">
      <c r="B2019" s="4" t="str">
        <f>"0011620005"</f>
        <v>0011620005</v>
      </c>
      <c r="C2019" s="5" t="str">
        <f>"147932"</f>
        <v>147932</v>
      </c>
      <c r="D2019" s="12" t="s">
        <v>1149</v>
      </c>
      <c r="E2019" s="14" t="s">
        <v>295</v>
      </c>
      <c r="F2019" s="12" t="s">
        <v>216</v>
      </c>
      <c r="G2019" s="15">
        <v>5</v>
      </c>
      <c r="H2019" s="12" t="s">
        <v>1147</v>
      </c>
      <c r="I2019" s="12" t="s">
        <v>79</v>
      </c>
      <c r="K2019" s="16">
        <v>521.35</v>
      </c>
      <c r="L2019" s="16">
        <v>671.15</v>
      </c>
      <c r="M2019" s="16">
        <v>673.15</v>
      </c>
    </row>
    <row r="2020" spans="1:13" ht="22.5" outlineLevel="3" x14ac:dyDescent="0.2">
      <c r="B2020" s="4" t="str">
        <f>"0011620005"</f>
        <v>0011620005</v>
      </c>
      <c r="C2020" s="5" t="str">
        <f>"576846"</f>
        <v>576846</v>
      </c>
      <c r="D2020" s="12" t="s">
        <v>1149</v>
      </c>
      <c r="E2020" s="14" t="s">
        <v>295</v>
      </c>
      <c r="F2020" s="12" t="s">
        <v>216</v>
      </c>
      <c r="G2020" s="15">
        <v>5</v>
      </c>
      <c r="H2020" s="12" t="s">
        <v>1147</v>
      </c>
      <c r="I2020" s="12" t="s">
        <v>79</v>
      </c>
      <c r="K2020" s="16">
        <v>521.35</v>
      </c>
      <c r="L2020" s="16">
        <v>671.15</v>
      </c>
      <c r="M2020" s="16">
        <v>673.15</v>
      </c>
    </row>
    <row r="2021" spans="1:13" outlineLevel="1" x14ac:dyDescent="0.2">
      <c r="A2021" s="3"/>
    </row>
    <row r="2022" spans="1:13" outlineLevel="2" x14ac:dyDescent="0.2">
      <c r="A2022" s="3" t="s">
        <v>1510</v>
      </c>
    </row>
    <row r="2023" spans="1:13" ht="33.75" outlineLevel="3" x14ac:dyDescent="0.2">
      <c r="B2023" s="4" t="str">
        <f t="shared" ref="B2023:B2028" si="70">"0013480120"</f>
        <v>0013480120</v>
      </c>
      <c r="C2023" s="5" t="str">
        <f>"397752"</f>
        <v>397752</v>
      </c>
      <c r="D2023" s="12" t="s">
        <v>1268</v>
      </c>
      <c r="E2023" s="14" t="s">
        <v>66</v>
      </c>
      <c r="F2023" s="12" t="s">
        <v>3</v>
      </c>
      <c r="G2023" s="15">
        <v>120</v>
      </c>
      <c r="H2023" s="12" t="s">
        <v>1269</v>
      </c>
      <c r="I2023" s="12" t="s">
        <v>1072</v>
      </c>
      <c r="K2023" s="16">
        <v>185.71</v>
      </c>
      <c r="L2023" s="16">
        <v>252.12</v>
      </c>
      <c r="M2023" s="16">
        <v>123.61</v>
      </c>
    </row>
    <row r="2024" spans="1:13" ht="33.75" outlineLevel="3" x14ac:dyDescent="0.2">
      <c r="B2024" s="4" t="str">
        <f t="shared" si="70"/>
        <v>0013480120</v>
      </c>
      <c r="C2024" s="5" t="str">
        <f>"596233"</f>
        <v>596233</v>
      </c>
      <c r="D2024" s="12" t="s">
        <v>1268</v>
      </c>
      <c r="E2024" s="14" t="s">
        <v>66</v>
      </c>
      <c r="F2024" s="12" t="s">
        <v>3</v>
      </c>
      <c r="G2024" s="15">
        <v>120</v>
      </c>
      <c r="H2024" s="12" t="s">
        <v>1269</v>
      </c>
      <c r="I2024" s="12" t="s">
        <v>75</v>
      </c>
      <c r="J2024" s="2" t="s">
        <v>1400</v>
      </c>
      <c r="K2024" s="16">
        <v>185</v>
      </c>
      <c r="L2024" s="16">
        <v>251.22</v>
      </c>
      <c r="M2024" s="16">
        <v>123.61</v>
      </c>
    </row>
    <row r="2025" spans="1:13" ht="33.75" outlineLevel="3" x14ac:dyDescent="0.2">
      <c r="B2025" s="4" t="str">
        <f t="shared" si="70"/>
        <v>0013480120</v>
      </c>
      <c r="C2025" s="5" t="str">
        <f>"070137"</f>
        <v>070137</v>
      </c>
      <c r="D2025" s="12" t="s">
        <v>1270</v>
      </c>
      <c r="E2025" s="14" t="s">
        <v>66</v>
      </c>
      <c r="F2025" s="12" t="s">
        <v>3</v>
      </c>
      <c r="G2025" s="15">
        <v>120</v>
      </c>
      <c r="H2025" s="12" t="s">
        <v>1269</v>
      </c>
      <c r="I2025" s="12" t="s">
        <v>577</v>
      </c>
      <c r="K2025" s="16">
        <v>87.16</v>
      </c>
      <c r="L2025" s="16">
        <v>125.94</v>
      </c>
      <c r="M2025" s="16">
        <v>123.61</v>
      </c>
    </row>
    <row r="2026" spans="1:13" ht="33.75" outlineLevel="3" x14ac:dyDescent="0.2">
      <c r="B2026" s="4" t="str">
        <f t="shared" si="70"/>
        <v>0013480120</v>
      </c>
      <c r="C2026" s="5" t="str">
        <f>"106477"</f>
        <v>106477</v>
      </c>
      <c r="D2026" s="12" t="s">
        <v>1271</v>
      </c>
      <c r="E2026" s="14" t="s">
        <v>66</v>
      </c>
      <c r="F2026" s="12" t="s">
        <v>3</v>
      </c>
      <c r="G2026" s="15">
        <v>120</v>
      </c>
      <c r="H2026" s="12" t="s">
        <v>1269</v>
      </c>
      <c r="I2026" s="12" t="s">
        <v>28</v>
      </c>
      <c r="K2026" s="16">
        <v>87.16</v>
      </c>
      <c r="L2026" s="16">
        <v>125.94</v>
      </c>
      <c r="M2026" s="16">
        <v>123.61</v>
      </c>
    </row>
    <row r="2027" spans="1:13" ht="33.75" outlineLevel="3" x14ac:dyDescent="0.2">
      <c r="B2027" s="4" t="str">
        <f t="shared" si="70"/>
        <v>0013480120</v>
      </c>
      <c r="C2027" s="5" t="str">
        <f>"459418"</f>
        <v>459418</v>
      </c>
      <c r="D2027" s="12" t="s">
        <v>1273</v>
      </c>
      <c r="E2027" s="14" t="s">
        <v>66</v>
      </c>
      <c r="F2027" s="12" t="s">
        <v>3</v>
      </c>
      <c r="G2027" s="15">
        <v>120</v>
      </c>
      <c r="H2027" s="12" t="s">
        <v>1269</v>
      </c>
      <c r="I2027" s="12" t="s">
        <v>68</v>
      </c>
      <c r="K2027" s="16">
        <v>87.16</v>
      </c>
      <c r="L2027" s="16">
        <v>125.94</v>
      </c>
      <c r="M2027" s="16">
        <v>123.61</v>
      </c>
    </row>
    <row r="2028" spans="1:13" ht="33.75" outlineLevel="3" x14ac:dyDescent="0.2">
      <c r="B2028" s="4" t="str">
        <f t="shared" si="70"/>
        <v>0013480120</v>
      </c>
      <c r="C2028" s="5" t="str">
        <f>"398138"</f>
        <v>398138</v>
      </c>
      <c r="D2028" s="12" t="s">
        <v>1272</v>
      </c>
      <c r="E2028" s="14" t="s">
        <v>66</v>
      </c>
      <c r="F2028" s="12" t="s">
        <v>3</v>
      </c>
      <c r="G2028" s="15">
        <v>120</v>
      </c>
      <c r="H2028" s="12" t="s">
        <v>1269</v>
      </c>
      <c r="I2028" s="12" t="s">
        <v>79</v>
      </c>
      <c r="K2028" s="16">
        <v>84.01</v>
      </c>
      <c r="L2028" s="16">
        <v>121.61</v>
      </c>
      <c r="M2028" s="16">
        <v>123.61</v>
      </c>
    </row>
    <row r="2029" spans="1:13" outlineLevel="2" x14ac:dyDescent="0.2"/>
    <row r="2030" spans="1:13" ht="33.75" outlineLevel="3" x14ac:dyDescent="0.2">
      <c r="B2030" s="4" t="str">
        <f>"0013490060"</f>
        <v>0013490060</v>
      </c>
      <c r="C2030" s="5" t="str">
        <f>"397745"</f>
        <v>397745</v>
      </c>
      <c r="D2030" s="12" t="s">
        <v>1268</v>
      </c>
      <c r="E2030" s="14" t="s">
        <v>2</v>
      </c>
      <c r="F2030" s="12" t="s">
        <v>3</v>
      </c>
      <c r="G2030" s="15">
        <v>60</v>
      </c>
      <c r="H2030" s="12" t="s">
        <v>1269</v>
      </c>
      <c r="I2030" s="12" t="s">
        <v>1072</v>
      </c>
      <c r="K2030" s="16">
        <v>29.48</v>
      </c>
      <c r="L2030" s="16">
        <v>44.79</v>
      </c>
      <c r="M2030" s="16">
        <v>29.91</v>
      </c>
    </row>
    <row r="2031" spans="1:13" ht="33.75" outlineLevel="3" x14ac:dyDescent="0.2">
      <c r="B2031" s="4" t="str">
        <f>"0013490060"</f>
        <v>0013490060</v>
      </c>
      <c r="C2031" s="5" t="str">
        <f>"535002"</f>
        <v>535002</v>
      </c>
      <c r="D2031" s="12" t="s">
        <v>1272</v>
      </c>
      <c r="E2031" s="14" t="s">
        <v>2</v>
      </c>
      <c r="F2031" s="12" t="s">
        <v>3</v>
      </c>
      <c r="G2031" s="15">
        <v>60</v>
      </c>
      <c r="H2031" s="12" t="s">
        <v>1269</v>
      </c>
      <c r="I2031" s="12" t="s">
        <v>79</v>
      </c>
      <c r="K2031" s="16">
        <v>18.45</v>
      </c>
      <c r="L2031" s="16">
        <v>28.41</v>
      </c>
      <c r="M2031" s="16">
        <v>29.91</v>
      </c>
    </row>
    <row r="2032" spans="1:13" outlineLevel="1" x14ac:dyDescent="0.2">
      <c r="A2032" s="3"/>
    </row>
    <row r="2033" spans="1:13" outlineLevel="2" x14ac:dyDescent="0.2">
      <c r="A2033" s="3" t="s">
        <v>1511</v>
      </c>
    </row>
    <row r="2034" spans="1:13" ht="22.5" outlineLevel="3" x14ac:dyDescent="0.2">
      <c r="B2034" s="4" t="str">
        <f>"0002580100"</f>
        <v>0002580100</v>
      </c>
      <c r="C2034" s="5" t="str">
        <f>"521757"</f>
        <v>521757</v>
      </c>
      <c r="D2034" s="12" t="s">
        <v>345</v>
      </c>
      <c r="E2034" s="14" t="s">
        <v>66</v>
      </c>
      <c r="F2034" s="12" t="s">
        <v>216</v>
      </c>
      <c r="G2034" s="15">
        <v>100</v>
      </c>
      <c r="H2034" s="12" t="s">
        <v>346</v>
      </c>
      <c r="I2034" s="12" t="s">
        <v>349</v>
      </c>
      <c r="K2034" s="16">
        <v>52.72</v>
      </c>
      <c r="L2034" s="16">
        <v>78.58</v>
      </c>
      <c r="M2034" s="16">
        <v>46.5</v>
      </c>
    </row>
    <row r="2035" spans="1:13" ht="45" outlineLevel="3" x14ac:dyDescent="0.2">
      <c r="B2035" s="4" t="str">
        <f>"0002580100"</f>
        <v>0002580100</v>
      </c>
      <c r="C2035" s="5" t="str">
        <f>"464545"</f>
        <v>464545</v>
      </c>
      <c r="D2035" s="12" t="s">
        <v>347</v>
      </c>
      <c r="E2035" s="14" t="s">
        <v>66</v>
      </c>
      <c r="F2035" s="12" t="s">
        <v>216</v>
      </c>
      <c r="G2035" s="15">
        <v>100</v>
      </c>
      <c r="H2035" s="12" t="s">
        <v>346</v>
      </c>
      <c r="I2035" s="12" t="s">
        <v>348</v>
      </c>
      <c r="K2035" s="16">
        <v>32.49</v>
      </c>
      <c r="L2035" s="16">
        <v>49.26</v>
      </c>
      <c r="M2035" s="16">
        <v>46.5</v>
      </c>
    </row>
    <row r="2036" spans="1:13" outlineLevel="3" x14ac:dyDescent="0.2">
      <c r="B2036" s="4" t="str">
        <f>"0002580100"</f>
        <v>0002580100</v>
      </c>
      <c r="C2036" s="5" t="str">
        <f>"016554"</f>
        <v>016554</v>
      </c>
      <c r="D2036" s="12" t="s">
        <v>345</v>
      </c>
      <c r="E2036" s="14" t="s">
        <v>66</v>
      </c>
      <c r="F2036" s="12" t="s">
        <v>216</v>
      </c>
      <c r="G2036" s="15">
        <v>100</v>
      </c>
      <c r="H2036" s="12" t="s">
        <v>346</v>
      </c>
      <c r="I2036" s="12" t="s">
        <v>75</v>
      </c>
      <c r="K2036" s="16">
        <v>30.56</v>
      </c>
      <c r="L2036" s="16">
        <v>46.4</v>
      </c>
      <c r="M2036" s="16">
        <v>46.5</v>
      </c>
    </row>
    <row r="2037" spans="1:13" outlineLevel="3" x14ac:dyDescent="0.2">
      <c r="B2037" s="4" t="str">
        <f>"0002580100"</f>
        <v>0002580100</v>
      </c>
      <c r="C2037" s="5" t="str">
        <f>"023187"</f>
        <v>023187</v>
      </c>
      <c r="D2037" s="12" t="s">
        <v>345</v>
      </c>
      <c r="E2037" s="14" t="s">
        <v>66</v>
      </c>
      <c r="F2037" s="12" t="s">
        <v>216</v>
      </c>
      <c r="G2037" s="15">
        <v>100</v>
      </c>
      <c r="H2037" s="12" t="s">
        <v>346</v>
      </c>
      <c r="I2037" s="12" t="s">
        <v>76</v>
      </c>
      <c r="K2037" s="16">
        <v>29.28</v>
      </c>
      <c r="L2037" s="16">
        <v>44.5</v>
      </c>
      <c r="M2037" s="16">
        <v>46.5</v>
      </c>
    </row>
    <row r="2038" spans="1:13" outlineLevel="1" x14ac:dyDescent="0.2">
      <c r="A2038" s="3"/>
    </row>
    <row r="2039" spans="1:13" outlineLevel="2" x14ac:dyDescent="0.2">
      <c r="A2039" s="3" t="s">
        <v>1512</v>
      </c>
    </row>
    <row r="2040" spans="1:13" outlineLevel="3" x14ac:dyDescent="0.2">
      <c r="B2040" s="4" t="str">
        <f>"0002630100"</f>
        <v>0002630100</v>
      </c>
      <c r="C2040" s="5" t="str">
        <f>"063651"</f>
        <v>063651</v>
      </c>
      <c r="D2040" s="12" t="s">
        <v>350</v>
      </c>
      <c r="E2040" s="14" t="s">
        <v>14</v>
      </c>
      <c r="F2040" s="12" t="s">
        <v>73</v>
      </c>
      <c r="G2040" s="15">
        <v>100</v>
      </c>
      <c r="H2040" s="12" t="s">
        <v>351</v>
      </c>
      <c r="I2040" s="12" t="s">
        <v>227</v>
      </c>
      <c r="K2040" s="16">
        <v>25.63</v>
      </c>
      <c r="L2040" s="16">
        <v>39.07</v>
      </c>
      <c r="M2040" s="16">
        <v>40.57</v>
      </c>
    </row>
    <row r="2041" spans="1:13" outlineLevel="3" x14ac:dyDescent="0.2">
      <c r="B2041" s="4" t="str">
        <f>"0002630100"</f>
        <v>0002630100</v>
      </c>
      <c r="C2041" s="5" t="str">
        <f>"103507"</f>
        <v>103507</v>
      </c>
      <c r="D2041" s="12" t="s">
        <v>352</v>
      </c>
      <c r="E2041" s="14" t="s">
        <v>14</v>
      </c>
      <c r="F2041" s="12" t="s">
        <v>73</v>
      </c>
      <c r="G2041" s="15">
        <v>100</v>
      </c>
      <c r="H2041" s="12" t="s">
        <v>351</v>
      </c>
      <c r="I2041" s="12" t="s">
        <v>58</v>
      </c>
      <c r="K2041" s="16">
        <v>25.63</v>
      </c>
      <c r="L2041" s="16">
        <v>39.07</v>
      </c>
      <c r="M2041" s="16">
        <v>40.57</v>
      </c>
    </row>
    <row r="2042" spans="1:13" outlineLevel="1" x14ac:dyDescent="0.2">
      <c r="A2042" s="3"/>
    </row>
    <row r="2043" spans="1:13" outlineLevel="2" x14ac:dyDescent="0.2">
      <c r="A2043" s="3" t="s">
        <v>1513</v>
      </c>
    </row>
    <row r="2044" spans="1:13" ht="33.75" outlineLevel="3" x14ac:dyDescent="0.2">
      <c r="B2044" s="4" t="str">
        <f>"0002670030"</f>
        <v>0002670030</v>
      </c>
      <c r="C2044" s="5" t="str">
        <f>"034580"</f>
        <v>034580</v>
      </c>
      <c r="D2044" s="12" t="s">
        <v>353</v>
      </c>
      <c r="E2044" s="14" t="s">
        <v>106</v>
      </c>
      <c r="F2044" s="12" t="s">
        <v>3</v>
      </c>
      <c r="G2044" s="15">
        <v>30</v>
      </c>
      <c r="H2044" s="12" t="s">
        <v>354</v>
      </c>
      <c r="I2044" s="12" t="s">
        <v>355</v>
      </c>
      <c r="J2044" s="2" t="s">
        <v>1400</v>
      </c>
      <c r="K2044" s="16">
        <v>86.36</v>
      </c>
      <c r="L2044" s="16">
        <v>124.84</v>
      </c>
      <c r="M2044" s="16">
        <v>24.8</v>
      </c>
    </row>
    <row r="2045" spans="1:13" ht="33.75" outlineLevel="3" x14ac:dyDescent="0.2">
      <c r="B2045" s="4" t="str">
        <f>"0002670030"</f>
        <v>0002670030</v>
      </c>
      <c r="C2045" s="5" t="str">
        <f>"123242"</f>
        <v>123242</v>
      </c>
      <c r="D2045" s="12" t="s">
        <v>356</v>
      </c>
      <c r="E2045" s="14" t="s">
        <v>106</v>
      </c>
      <c r="F2045" s="12" t="s">
        <v>3</v>
      </c>
      <c r="G2045" s="15">
        <v>28</v>
      </c>
      <c r="H2045" s="12" t="s">
        <v>354</v>
      </c>
      <c r="I2045" s="12" t="s">
        <v>22</v>
      </c>
      <c r="K2045" s="16">
        <v>34.67</v>
      </c>
      <c r="L2045" s="16">
        <v>52.49</v>
      </c>
      <c r="M2045" s="16">
        <v>24.8</v>
      </c>
    </row>
    <row r="2046" spans="1:13" ht="33.75" outlineLevel="3" x14ac:dyDescent="0.2">
      <c r="B2046" s="4" t="str">
        <f>"0002670030"</f>
        <v>0002670030</v>
      </c>
      <c r="C2046" s="5" t="str">
        <f>"490535"</f>
        <v>490535</v>
      </c>
      <c r="D2046" s="12" t="s">
        <v>357</v>
      </c>
      <c r="E2046" s="14" t="s">
        <v>106</v>
      </c>
      <c r="F2046" s="12" t="s">
        <v>3</v>
      </c>
      <c r="G2046" s="15">
        <v>30</v>
      </c>
      <c r="H2046" s="12" t="s">
        <v>354</v>
      </c>
      <c r="I2046" s="12" t="s">
        <v>58</v>
      </c>
      <c r="K2046" s="16">
        <v>15.01</v>
      </c>
      <c r="L2046" s="16">
        <v>23.3</v>
      </c>
      <c r="M2046" s="16">
        <v>24.8</v>
      </c>
    </row>
    <row r="2047" spans="1:13" ht="33.75" outlineLevel="3" x14ac:dyDescent="0.2">
      <c r="B2047" s="4" t="str">
        <f>"0002670090"</f>
        <v>0002670090</v>
      </c>
      <c r="C2047" s="5" t="str">
        <f>"049092"</f>
        <v>049092</v>
      </c>
      <c r="D2047" s="12" t="s">
        <v>353</v>
      </c>
      <c r="E2047" s="14" t="s">
        <v>106</v>
      </c>
      <c r="F2047" s="12" t="s">
        <v>3</v>
      </c>
      <c r="G2047" s="15">
        <v>90</v>
      </c>
      <c r="H2047" s="12" t="s">
        <v>354</v>
      </c>
      <c r="I2047" s="12" t="s">
        <v>355</v>
      </c>
      <c r="K2047" s="16">
        <v>235.74</v>
      </c>
      <c r="L2047" s="16">
        <v>315.39999999999998</v>
      </c>
      <c r="M2047" s="16">
        <v>317.39999999999998</v>
      </c>
    </row>
    <row r="2048" spans="1:13" outlineLevel="2" x14ac:dyDescent="0.2"/>
    <row r="2049" spans="1:13" ht="33.75" outlineLevel="3" x14ac:dyDescent="0.2">
      <c r="B2049" s="4" t="str">
        <f>"0002670100"</f>
        <v>0002670100</v>
      </c>
      <c r="C2049" s="5" t="str">
        <f>"178325"</f>
        <v>178325</v>
      </c>
      <c r="D2049" s="12" t="s">
        <v>357</v>
      </c>
      <c r="E2049" s="14" t="s">
        <v>106</v>
      </c>
      <c r="F2049" s="12" t="s">
        <v>3</v>
      </c>
      <c r="G2049" s="15">
        <v>100</v>
      </c>
      <c r="H2049" s="12" t="s">
        <v>354</v>
      </c>
      <c r="I2049" s="12" t="s">
        <v>58</v>
      </c>
      <c r="K2049" s="16">
        <v>44.15</v>
      </c>
      <c r="L2049" s="16">
        <v>66.569999999999993</v>
      </c>
      <c r="M2049" s="16">
        <v>68.569999999999993</v>
      </c>
    </row>
    <row r="2050" spans="1:13" outlineLevel="2" x14ac:dyDescent="0.2"/>
    <row r="2051" spans="1:13" ht="33.75" outlineLevel="3" x14ac:dyDescent="0.2">
      <c r="B2051" s="4" t="str">
        <f>"0006790030"</f>
        <v>0006790030</v>
      </c>
      <c r="C2051" s="5" t="str">
        <f>"034571"</f>
        <v>034571</v>
      </c>
      <c r="D2051" s="12" t="s">
        <v>353</v>
      </c>
      <c r="E2051" s="14" t="s">
        <v>2</v>
      </c>
      <c r="F2051" s="12" t="s">
        <v>3</v>
      </c>
      <c r="G2051" s="15">
        <v>30</v>
      </c>
      <c r="H2051" s="12" t="s">
        <v>354</v>
      </c>
      <c r="I2051" s="12" t="s">
        <v>355</v>
      </c>
      <c r="J2051" s="2" t="s">
        <v>1400</v>
      </c>
      <c r="K2051" s="16">
        <v>223.67</v>
      </c>
      <c r="L2051" s="16">
        <v>300.14</v>
      </c>
      <c r="M2051" s="16">
        <v>36.840000000000003</v>
      </c>
    </row>
    <row r="2052" spans="1:13" ht="33.75" outlineLevel="3" x14ac:dyDescent="0.2">
      <c r="B2052" s="4" t="str">
        <f>"0006790030"</f>
        <v>0006790030</v>
      </c>
      <c r="C2052" s="5" t="str">
        <f>"123253"</f>
        <v>123253</v>
      </c>
      <c r="D2052" s="12" t="s">
        <v>356</v>
      </c>
      <c r="E2052" s="14" t="s">
        <v>2</v>
      </c>
      <c r="F2052" s="12" t="s">
        <v>3</v>
      </c>
      <c r="G2052" s="15">
        <v>28</v>
      </c>
      <c r="H2052" s="12" t="s">
        <v>354</v>
      </c>
      <c r="I2052" s="12" t="s">
        <v>22</v>
      </c>
      <c r="K2052" s="16">
        <v>111.09</v>
      </c>
      <c r="L2052" s="16">
        <v>157.72</v>
      </c>
      <c r="M2052" s="16">
        <v>36.840000000000003</v>
      </c>
    </row>
    <row r="2053" spans="1:13" ht="33.75" outlineLevel="3" x14ac:dyDescent="0.2">
      <c r="B2053" s="4" t="str">
        <f>"0006790030"</f>
        <v>0006790030</v>
      </c>
      <c r="C2053" s="5" t="str">
        <f>"063874"</f>
        <v>063874</v>
      </c>
      <c r="D2053" s="12" t="s">
        <v>357</v>
      </c>
      <c r="E2053" s="14" t="s">
        <v>2</v>
      </c>
      <c r="F2053" s="12" t="s">
        <v>3</v>
      </c>
      <c r="G2053" s="15">
        <v>30</v>
      </c>
      <c r="H2053" s="12" t="s">
        <v>354</v>
      </c>
      <c r="I2053" s="12" t="s">
        <v>58</v>
      </c>
      <c r="K2053" s="16">
        <v>23.12</v>
      </c>
      <c r="L2053" s="16">
        <v>35.340000000000003</v>
      </c>
      <c r="M2053" s="16">
        <v>36.840000000000003</v>
      </c>
    </row>
    <row r="2054" spans="1:13" outlineLevel="2" x14ac:dyDescent="0.2"/>
    <row r="2055" spans="1:13" ht="33.75" outlineLevel="3" x14ac:dyDescent="0.2">
      <c r="B2055" s="4" t="str">
        <f>"0006790090"</f>
        <v>0006790090</v>
      </c>
      <c r="C2055" s="5" t="str">
        <f>"049103"</f>
        <v>049103</v>
      </c>
      <c r="D2055" s="12" t="s">
        <v>353</v>
      </c>
      <c r="E2055" s="14" t="s">
        <v>2</v>
      </c>
      <c r="F2055" s="12" t="s">
        <v>3</v>
      </c>
      <c r="G2055" s="15">
        <v>90</v>
      </c>
      <c r="H2055" s="12" t="s">
        <v>354</v>
      </c>
      <c r="I2055" s="12" t="s">
        <v>355</v>
      </c>
      <c r="K2055" s="16">
        <v>610.55999999999995</v>
      </c>
      <c r="L2055" s="16">
        <v>779.1</v>
      </c>
      <c r="M2055" s="16">
        <v>781.1</v>
      </c>
    </row>
    <row r="2056" spans="1:13" outlineLevel="2" x14ac:dyDescent="0.2"/>
    <row r="2057" spans="1:13" ht="33.75" outlineLevel="3" x14ac:dyDescent="0.2">
      <c r="B2057" s="4" t="str">
        <f>"0006790100"</f>
        <v>0006790100</v>
      </c>
      <c r="C2057" s="5" t="str">
        <f>"065293"</f>
        <v>065293</v>
      </c>
      <c r="D2057" s="12" t="s">
        <v>357</v>
      </c>
      <c r="E2057" s="14" t="s">
        <v>2</v>
      </c>
      <c r="F2057" s="12" t="s">
        <v>3</v>
      </c>
      <c r="G2057" s="15">
        <v>100</v>
      </c>
      <c r="H2057" s="12" t="s">
        <v>354</v>
      </c>
      <c r="I2057" s="12" t="s">
        <v>58</v>
      </c>
      <c r="K2057" s="16">
        <v>73.28</v>
      </c>
      <c r="L2057" s="16">
        <v>106.85</v>
      </c>
      <c r="M2057" s="16">
        <v>108.85</v>
      </c>
    </row>
    <row r="2058" spans="1:13" outlineLevel="1" x14ac:dyDescent="0.2">
      <c r="A2058" s="3"/>
    </row>
    <row r="2059" spans="1:13" outlineLevel="2" x14ac:dyDescent="0.2">
      <c r="A2059" s="3" t="s">
        <v>1514</v>
      </c>
    </row>
    <row r="2060" spans="1:13" ht="33.75" outlineLevel="3" x14ac:dyDescent="0.2">
      <c r="B2060" s="4" t="str">
        <f>"0008000090"</f>
        <v>0008000090</v>
      </c>
      <c r="C2060" s="5" t="str">
        <f>"505454"</f>
        <v>505454</v>
      </c>
      <c r="D2060" s="12" t="s">
        <v>860</v>
      </c>
      <c r="E2060" s="14" t="s">
        <v>465</v>
      </c>
      <c r="F2060" s="12" t="s">
        <v>3</v>
      </c>
      <c r="G2060" s="15">
        <v>90</v>
      </c>
      <c r="H2060" s="12" t="s">
        <v>861</v>
      </c>
      <c r="I2060" s="12" t="s">
        <v>355</v>
      </c>
      <c r="K2060" s="16">
        <v>186.29</v>
      </c>
      <c r="L2060" s="16">
        <v>252.85</v>
      </c>
      <c r="M2060" s="16">
        <v>254.85</v>
      </c>
    </row>
    <row r="2061" spans="1:13" outlineLevel="2" x14ac:dyDescent="0.2"/>
    <row r="2062" spans="1:13" ht="33.75" outlineLevel="3" x14ac:dyDescent="0.2">
      <c r="B2062" s="4" t="str">
        <f>"0008000100"</f>
        <v>0008000100</v>
      </c>
      <c r="C2062" s="5" t="str">
        <f>"099531"</f>
        <v>099531</v>
      </c>
      <c r="D2062" s="12" t="s">
        <v>860</v>
      </c>
      <c r="E2062" s="14" t="s">
        <v>465</v>
      </c>
      <c r="F2062" s="12" t="s">
        <v>3</v>
      </c>
      <c r="G2062" s="15">
        <v>98</v>
      </c>
      <c r="H2062" s="12" t="s">
        <v>861</v>
      </c>
      <c r="I2062" s="12" t="s">
        <v>355</v>
      </c>
      <c r="J2062" s="2" t="s">
        <v>1400</v>
      </c>
      <c r="K2062" s="16">
        <v>200.85</v>
      </c>
      <c r="L2062" s="16">
        <v>271.27</v>
      </c>
      <c r="M2062" s="16">
        <v>19.89</v>
      </c>
    </row>
    <row r="2063" spans="1:13" ht="33.75" outlineLevel="3" x14ac:dyDescent="0.2">
      <c r="B2063" s="4" t="str">
        <f>"0008000100"</f>
        <v>0008000100</v>
      </c>
      <c r="C2063" s="5" t="str">
        <f>"386953"</f>
        <v>386953</v>
      </c>
      <c r="D2063" s="12" t="s">
        <v>864</v>
      </c>
      <c r="E2063" s="14" t="s">
        <v>465</v>
      </c>
      <c r="F2063" s="12" t="s">
        <v>3</v>
      </c>
      <c r="G2063" s="15">
        <v>98</v>
      </c>
      <c r="H2063" s="12" t="s">
        <v>861</v>
      </c>
      <c r="I2063" s="12" t="s">
        <v>22</v>
      </c>
      <c r="K2063" s="16">
        <v>200.85</v>
      </c>
      <c r="L2063" s="16">
        <v>271.27</v>
      </c>
      <c r="M2063" s="16">
        <v>19.89</v>
      </c>
    </row>
    <row r="2064" spans="1:13" ht="33.75" outlineLevel="3" x14ac:dyDescent="0.2">
      <c r="B2064" s="4" t="str">
        <f>"0008000100"</f>
        <v>0008000100</v>
      </c>
      <c r="C2064" s="5" t="str">
        <f>"079597"</f>
        <v>079597</v>
      </c>
      <c r="D2064" s="12" t="s">
        <v>862</v>
      </c>
      <c r="E2064" s="14" t="s">
        <v>465</v>
      </c>
      <c r="F2064" s="12" t="s">
        <v>3</v>
      </c>
      <c r="G2064" s="15">
        <v>100</v>
      </c>
      <c r="H2064" s="12" t="s">
        <v>861</v>
      </c>
      <c r="I2064" s="12" t="s">
        <v>298</v>
      </c>
      <c r="K2064" s="16">
        <v>12.75</v>
      </c>
      <c r="L2064" s="16">
        <v>19.940000000000001</v>
      </c>
      <c r="M2064" s="16">
        <v>19.89</v>
      </c>
    </row>
    <row r="2065" spans="1:13" ht="33.75" outlineLevel="3" x14ac:dyDescent="0.2">
      <c r="B2065" s="4" t="str">
        <f>"0008000100"</f>
        <v>0008000100</v>
      </c>
      <c r="C2065" s="5" t="str">
        <f>"425938"</f>
        <v>425938</v>
      </c>
      <c r="D2065" s="12" t="s">
        <v>865</v>
      </c>
      <c r="E2065" s="14" t="s">
        <v>465</v>
      </c>
      <c r="F2065" s="12" t="s">
        <v>3</v>
      </c>
      <c r="G2065" s="15">
        <v>100</v>
      </c>
      <c r="H2065" s="12" t="s">
        <v>861</v>
      </c>
      <c r="I2065" s="12" t="s">
        <v>70</v>
      </c>
      <c r="K2065" s="16">
        <v>12.75</v>
      </c>
      <c r="L2065" s="16">
        <v>19.940000000000001</v>
      </c>
      <c r="M2065" s="16">
        <v>19.89</v>
      </c>
    </row>
    <row r="2066" spans="1:13" ht="33.75" outlineLevel="3" x14ac:dyDescent="0.2">
      <c r="B2066" s="4" t="str">
        <f>"0008000100"</f>
        <v>0008000100</v>
      </c>
      <c r="C2066" s="5" t="str">
        <f>"093398"</f>
        <v>093398</v>
      </c>
      <c r="D2066" s="12" t="s">
        <v>863</v>
      </c>
      <c r="E2066" s="14" t="s">
        <v>465</v>
      </c>
      <c r="F2066" s="12" t="s">
        <v>3</v>
      </c>
      <c r="G2066" s="15">
        <v>100</v>
      </c>
      <c r="H2066" s="12" t="s">
        <v>861</v>
      </c>
      <c r="I2066" s="12" t="s">
        <v>60</v>
      </c>
      <c r="K2066" s="16">
        <v>11.7</v>
      </c>
      <c r="L2066" s="16">
        <v>18.39</v>
      </c>
      <c r="M2066" s="16">
        <v>19.89</v>
      </c>
    </row>
    <row r="2067" spans="1:13" outlineLevel="1" x14ac:dyDescent="0.2">
      <c r="A2067" s="3"/>
    </row>
    <row r="2068" spans="1:13" outlineLevel="2" x14ac:dyDescent="0.2">
      <c r="A2068" s="3" t="s">
        <v>1515</v>
      </c>
    </row>
    <row r="2069" spans="1:13" ht="33.75" outlineLevel="3" x14ac:dyDescent="0.2">
      <c r="B2069" s="4" t="str">
        <f>"0011170030"</f>
        <v>0011170030</v>
      </c>
      <c r="C2069" s="5" t="str">
        <f>"184259"</f>
        <v>184259</v>
      </c>
      <c r="D2069" s="12" t="s">
        <v>1097</v>
      </c>
      <c r="E2069" s="14" t="s">
        <v>136</v>
      </c>
      <c r="F2069" s="12" t="s">
        <v>3</v>
      </c>
      <c r="G2069" s="15">
        <v>30</v>
      </c>
      <c r="H2069" s="12" t="s">
        <v>1094</v>
      </c>
      <c r="I2069" s="12" t="s">
        <v>109</v>
      </c>
      <c r="K2069" s="16">
        <v>68.62</v>
      </c>
      <c r="L2069" s="16">
        <v>100.45</v>
      </c>
      <c r="M2069" s="16">
        <v>10.82</v>
      </c>
    </row>
    <row r="2070" spans="1:13" ht="33.75" outlineLevel="3" x14ac:dyDescent="0.2">
      <c r="B2070" s="4" t="str">
        <f>"0011170030"</f>
        <v>0011170030</v>
      </c>
      <c r="C2070" s="5" t="str">
        <f>"080470"</f>
        <v>080470</v>
      </c>
      <c r="D2070" s="12" t="s">
        <v>1093</v>
      </c>
      <c r="E2070" s="14" t="s">
        <v>136</v>
      </c>
      <c r="F2070" s="12" t="s">
        <v>3</v>
      </c>
      <c r="G2070" s="15">
        <v>30</v>
      </c>
      <c r="H2070" s="12" t="s">
        <v>1094</v>
      </c>
      <c r="I2070" s="12" t="s">
        <v>20</v>
      </c>
      <c r="J2070" s="2" t="s">
        <v>1400</v>
      </c>
      <c r="K2070" s="16">
        <v>9.34</v>
      </c>
      <c r="L2070" s="16">
        <v>14.88</v>
      </c>
      <c r="M2070" s="16">
        <v>10.82</v>
      </c>
    </row>
    <row r="2071" spans="1:13" ht="33.75" outlineLevel="3" x14ac:dyDescent="0.2">
      <c r="B2071" s="4" t="str">
        <f>"0011170030"</f>
        <v>0011170030</v>
      </c>
      <c r="C2071" s="5" t="str">
        <f>"490465"</f>
        <v>490465</v>
      </c>
      <c r="D2071" s="12" t="s">
        <v>1095</v>
      </c>
      <c r="E2071" s="14" t="s">
        <v>136</v>
      </c>
      <c r="F2071" s="12" t="s">
        <v>3</v>
      </c>
      <c r="G2071" s="15">
        <v>30</v>
      </c>
      <c r="H2071" s="12" t="s">
        <v>1094</v>
      </c>
      <c r="I2071" s="12" t="s">
        <v>70</v>
      </c>
      <c r="J2071" s="2" t="s">
        <v>1400</v>
      </c>
      <c r="K2071" s="16">
        <v>6.78</v>
      </c>
      <c r="L2071" s="16">
        <v>10.81</v>
      </c>
      <c r="M2071" s="16">
        <v>10.82</v>
      </c>
    </row>
    <row r="2072" spans="1:13" ht="33.75" outlineLevel="3" x14ac:dyDescent="0.2">
      <c r="B2072" s="4" t="str">
        <f>"0011170030"</f>
        <v>0011170030</v>
      </c>
      <c r="C2072" s="5" t="str">
        <f>"491103"</f>
        <v>491103</v>
      </c>
      <c r="D2072" s="12" t="s">
        <v>1098</v>
      </c>
      <c r="E2072" s="14" t="s">
        <v>136</v>
      </c>
      <c r="F2072" s="12" t="s">
        <v>3</v>
      </c>
      <c r="G2072" s="15">
        <v>30</v>
      </c>
      <c r="H2072" s="12" t="s">
        <v>1094</v>
      </c>
      <c r="I2072" s="12" t="s">
        <v>5</v>
      </c>
      <c r="K2072" s="16">
        <v>6.78</v>
      </c>
      <c r="L2072" s="16">
        <v>10.81</v>
      </c>
      <c r="M2072" s="16">
        <v>10.82</v>
      </c>
    </row>
    <row r="2073" spans="1:13" ht="33.75" outlineLevel="3" x14ac:dyDescent="0.2">
      <c r="B2073" s="4" t="str">
        <f>"0011170030"</f>
        <v>0011170030</v>
      </c>
      <c r="C2073" s="5" t="str">
        <f>"130205"</f>
        <v>130205</v>
      </c>
      <c r="D2073" s="12" t="s">
        <v>1096</v>
      </c>
      <c r="E2073" s="14" t="s">
        <v>136</v>
      </c>
      <c r="F2073" s="12" t="s">
        <v>3</v>
      </c>
      <c r="G2073" s="15">
        <v>30</v>
      </c>
      <c r="H2073" s="12" t="s">
        <v>1094</v>
      </c>
      <c r="I2073" s="12" t="s">
        <v>79</v>
      </c>
      <c r="K2073" s="16">
        <v>5.84</v>
      </c>
      <c r="L2073" s="16">
        <v>9.32</v>
      </c>
      <c r="M2073" s="16">
        <v>10.82</v>
      </c>
    </row>
    <row r="2074" spans="1:13" outlineLevel="2" x14ac:dyDescent="0.2"/>
    <row r="2075" spans="1:13" ht="33.75" outlineLevel="3" x14ac:dyDescent="0.2">
      <c r="B2075" s="4" t="str">
        <f>"0011170090"</f>
        <v>0011170090</v>
      </c>
      <c r="C2075" s="5" t="str">
        <f>"181866"</f>
        <v>181866</v>
      </c>
      <c r="D2075" s="12" t="s">
        <v>1099</v>
      </c>
      <c r="E2075" s="14" t="s">
        <v>136</v>
      </c>
      <c r="F2075" s="12" t="s">
        <v>3</v>
      </c>
      <c r="G2075" s="15">
        <v>90</v>
      </c>
      <c r="H2075" s="12" t="s">
        <v>1094</v>
      </c>
      <c r="I2075" s="12" t="s">
        <v>355</v>
      </c>
      <c r="K2075" s="16">
        <v>186.32</v>
      </c>
      <c r="L2075" s="16">
        <v>252.89</v>
      </c>
      <c r="M2075" s="16">
        <v>254.89</v>
      </c>
    </row>
    <row r="2076" spans="1:13" outlineLevel="2" x14ac:dyDescent="0.2"/>
    <row r="2077" spans="1:13" ht="33.75" outlineLevel="3" x14ac:dyDescent="0.2">
      <c r="B2077" s="4" t="str">
        <f t="shared" ref="B2077:B2082" si="71">"0011170100"</f>
        <v>0011170100</v>
      </c>
      <c r="C2077" s="5" t="str">
        <f>"184275"</f>
        <v>184275</v>
      </c>
      <c r="D2077" s="12" t="s">
        <v>1097</v>
      </c>
      <c r="E2077" s="14" t="s">
        <v>136</v>
      </c>
      <c r="F2077" s="12" t="s">
        <v>3</v>
      </c>
      <c r="G2077" s="15">
        <v>100</v>
      </c>
      <c r="H2077" s="12" t="s">
        <v>1094</v>
      </c>
      <c r="I2077" s="12" t="s">
        <v>109</v>
      </c>
      <c r="K2077" s="16">
        <v>204.97</v>
      </c>
      <c r="L2077" s="16">
        <v>276.49</v>
      </c>
      <c r="M2077" s="16">
        <v>8.49</v>
      </c>
    </row>
    <row r="2078" spans="1:13" ht="33.75" outlineLevel="3" x14ac:dyDescent="0.2">
      <c r="B2078" s="4" t="str">
        <f t="shared" si="71"/>
        <v>0011170100</v>
      </c>
      <c r="C2078" s="5" t="str">
        <f>"040820"</f>
        <v>040820</v>
      </c>
      <c r="D2078" s="12" t="s">
        <v>1099</v>
      </c>
      <c r="E2078" s="14" t="s">
        <v>136</v>
      </c>
      <c r="F2078" s="12" t="s">
        <v>3</v>
      </c>
      <c r="G2078" s="15">
        <v>98</v>
      </c>
      <c r="H2078" s="12" t="s">
        <v>1094</v>
      </c>
      <c r="I2078" s="12" t="s">
        <v>355</v>
      </c>
      <c r="J2078" s="2" t="s">
        <v>1400</v>
      </c>
      <c r="K2078" s="16">
        <v>200.87</v>
      </c>
      <c r="L2078" s="16">
        <v>271.29000000000002</v>
      </c>
      <c r="M2078" s="16">
        <v>8.49</v>
      </c>
    </row>
    <row r="2079" spans="1:13" ht="33.75" outlineLevel="3" x14ac:dyDescent="0.2">
      <c r="B2079" s="4" t="str">
        <f t="shared" si="71"/>
        <v>0011170100</v>
      </c>
      <c r="C2079" s="5" t="str">
        <f>"422377"</f>
        <v>422377</v>
      </c>
      <c r="D2079" s="12" t="s">
        <v>1100</v>
      </c>
      <c r="E2079" s="14" t="s">
        <v>136</v>
      </c>
      <c r="F2079" s="12" t="s">
        <v>3</v>
      </c>
      <c r="G2079" s="15">
        <v>100</v>
      </c>
      <c r="H2079" s="12" t="s">
        <v>1094</v>
      </c>
      <c r="I2079" s="12" t="s">
        <v>60</v>
      </c>
      <c r="K2079" s="16">
        <v>25</v>
      </c>
      <c r="L2079" s="16">
        <v>38.14</v>
      </c>
      <c r="M2079" s="16">
        <v>8.49</v>
      </c>
    </row>
    <row r="2080" spans="1:13" ht="33.75" outlineLevel="3" x14ac:dyDescent="0.2">
      <c r="B2080" s="4" t="str">
        <f t="shared" si="71"/>
        <v>0011170100</v>
      </c>
      <c r="C2080" s="5" t="str">
        <f>"469174"</f>
        <v>469174</v>
      </c>
      <c r="D2080" s="12" t="s">
        <v>1095</v>
      </c>
      <c r="E2080" s="14" t="s">
        <v>136</v>
      </c>
      <c r="F2080" s="12" t="s">
        <v>3</v>
      </c>
      <c r="G2080" s="15">
        <v>100</v>
      </c>
      <c r="H2080" s="12" t="s">
        <v>1094</v>
      </c>
      <c r="I2080" s="12" t="s">
        <v>70</v>
      </c>
      <c r="K2080" s="16">
        <v>4.38</v>
      </c>
      <c r="L2080" s="16">
        <v>6.99</v>
      </c>
      <c r="M2080" s="16">
        <v>8.49</v>
      </c>
    </row>
    <row r="2081" spans="1:13" ht="33.75" outlineLevel="3" x14ac:dyDescent="0.2">
      <c r="B2081" s="4" t="str">
        <f t="shared" si="71"/>
        <v>0011170100</v>
      </c>
      <c r="C2081" s="5" t="str">
        <f>"490395"</f>
        <v>490395</v>
      </c>
      <c r="D2081" s="12" t="s">
        <v>1098</v>
      </c>
      <c r="E2081" s="14" t="s">
        <v>136</v>
      </c>
      <c r="F2081" s="12" t="s">
        <v>3</v>
      </c>
      <c r="G2081" s="15">
        <v>100</v>
      </c>
      <c r="H2081" s="12" t="s">
        <v>1094</v>
      </c>
      <c r="I2081" s="12" t="s">
        <v>5</v>
      </c>
      <c r="K2081" s="16">
        <v>4.38</v>
      </c>
      <c r="L2081" s="16">
        <v>6.99</v>
      </c>
      <c r="M2081" s="16">
        <v>8.49</v>
      </c>
    </row>
    <row r="2082" spans="1:13" ht="33.75" outlineLevel="3" x14ac:dyDescent="0.2">
      <c r="B2082" s="4" t="str">
        <f t="shared" si="71"/>
        <v>0011170100</v>
      </c>
      <c r="C2082" s="5" t="str">
        <f>"523296"</f>
        <v>523296</v>
      </c>
      <c r="D2082" s="12" t="s">
        <v>1096</v>
      </c>
      <c r="E2082" s="14" t="s">
        <v>136</v>
      </c>
      <c r="F2082" s="12" t="s">
        <v>3</v>
      </c>
      <c r="G2082" s="15">
        <v>100</v>
      </c>
      <c r="H2082" s="12" t="s">
        <v>1094</v>
      </c>
      <c r="I2082" s="12" t="s">
        <v>79</v>
      </c>
      <c r="J2082" s="2" t="s">
        <v>1400</v>
      </c>
      <c r="K2082" s="16">
        <v>3.45</v>
      </c>
      <c r="L2082" s="16">
        <v>5.5</v>
      </c>
      <c r="M2082" s="16">
        <v>8.49</v>
      </c>
    </row>
    <row r="2083" spans="1:13" outlineLevel="1" x14ac:dyDescent="0.2">
      <c r="A2083" s="3"/>
    </row>
    <row r="2084" spans="1:13" outlineLevel="2" x14ac:dyDescent="0.2">
      <c r="A2084" s="3" t="s">
        <v>1516</v>
      </c>
    </row>
    <row r="2085" spans="1:13" ht="22.5" outlineLevel="3" x14ac:dyDescent="0.2">
      <c r="B2085" s="4" t="str">
        <f>"0011870100"</f>
        <v>0011870100</v>
      </c>
      <c r="C2085" s="5" t="str">
        <f>"161547"</f>
        <v>161547</v>
      </c>
      <c r="D2085" s="12" t="s">
        <v>1177</v>
      </c>
      <c r="E2085" s="14" t="s">
        <v>102</v>
      </c>
      <c r="F2085" s="12" t="s">
        <v>220</v>
      </c>
      <c r="G2085" s="15">
        <v>100</v>
      </c>
      <c r="H2085" s="12" t="s">
        <v>1175</v>
      </c>
      <c r="I2085" s="12" t="s">
        <v>240</v>
      </c>
      <c r="K2085" s="16">
        <v>220.97</v>
      </c>
      <c r="L2085" s="16">
        <v>296.73</v>
      </c>
      <c r="M2085" s="16">
        <v>28.43</v>
      </c>
    </row>
    <row r="2086" spans="1:13" ht="33.75" outlineLevel="3" x14ac:dyDescent="0.2">
      <c r="B2086" s="4" t="str">
        <f>"0011870100"</f>
        <v>0011870100</v>
      </c>
      <c r="C2086" s="5" t="str">
        <f>"061670"</f>
        <v>061670</v>
      </c>
      <c r="D2086" s="12" t="s">
        <v>1174</v>
      </c>
      <c r="E2086" s="14" t="s">
        <v>102</v>
      </c>
      <c r="F2086" s="12" t="s">
        <v>3</v>
      </c>
      <c r="G2086" s="15">
        <v>100</v>
      </c>
      <c r="H2086" s="12" t="s">
        <v>1175</v>
      </c>
      <c r="I2086" s="12" t="s">
        <v>355</v>
      </c>
      <c r="K2086" s="16">
        <v>30.9</v>
      </c>
      <c r="L2086" s="16">
        <v>46.9</v>
      </c>
      <c r="M2086" s="16">
        <v>28.43</v>
      </c>
    </row>
    <row r="2087" spans="1:13" ht="22.5" outlineLevel="3" x14ac:dyDescent="0.2">
      <c r="B2087" s="4" t="str">
        <f>"0011870100"</f>
        <v>0011870100</v>
      </c>
      <c r="C2087" s="5" t="str">
        <f>"159610"</f>
        <v>159610</v>
      </c>
      <c r="D2087" s="12" t="s">
        <v>1176</v>
      </c>
      <c r="E2087" s="14" t="s">
        <v>102</v>
      </c>
      <c r="F2087" s="12" t="s">
        <v>220</v>
      </c>
      <c r="G2087" s="15">
        <v>100</v>
      </c>
      <c r="H2087" s="12" t="s">
        <v>1175</v>
      </c>
      <c r="I2087" s="12" t="s">
        <v>240</v>
      </c>
      <c r="K2087" s="16">
        <v>21.04</v>
      </c>
      <c r="L2087" s="16">
        <v>32.25</v>
      </c>
      <c r="M2087" s="16">
        <v>28.43</v>
      </c>
    </row>
    <row r="2088" spans="1:13" ht="33.75" outlineLevel="3" x14ac:dyDescent="0.2">
      <c r="B2088" s="4" t="str">
        <f>"0011870100"</f>
        <v>0011870100</v>
      </c>
      <c r="C2088" s="5" t="str">
        <f>"171837"</f>
        <v>171837</v>
      </c>
      <c r="D2088" s="12" t="s">
        <v>1178</v>
      </c>
      <c r="E2088" s="14" t="s">
        <v>102</v>
      </c>
      <c r="F2088" s="12" t="s">
        <v>3</v>
      </c>
      <c r="G2088" s="15">
        <v>100</v>
      </c>
      <c r="H2088" s="12" t="s">
        <v>1175</v>
      </c>
      <c r="I2088" s="12" t="s">
        <v>79</v>
      </c>
      <c r="K2088" s="16">
        <v>17.45</v>
      </c>
      <c r="L2088" s="16">
        <v>26.93</v>
      </c>
      <c r="M2088" s="16">
        <v>28.43</v>
      </c>
    </row>
    <row r="2089" spans="1:13" outlineLevel="1" x14ac:dyDescent="0.2">
      <c r="A2089" s="3"/>
    </row>
    <row r="2090" spans="1:13" outlineLevel="2" x14ac:dyDescent="0.2">
      <c r="A2090" s="3" t="s">
        <v>1517</v>
      </c>
    </row>
    <row r="2091" spans="1:13" ht="22.5" outlineLevel="3" x14ac:dyDescent="0.2">
      <c r="B2091" s="4" t="str">
        <f>"0010670100"</f>
        <v>0010670100</v>
      </c>
      <c r="C2091" s="5" t="str">
        <f>"108829"</f>
        <v>108829</v>
      </c>
      <c r="D2091" s="12" t="s">
        <v>1071</v>
      </c>
      <c r="E2091" s="14" t="s">
        <v>295</v>
      </c>
      <c r="F2091" s="12" t="s">
        <v>216</v>
      </c>
      <c r="G2091" s="15">
        <v>100</v>
      </c>
      <c r="H2091" s="12" t="s">
        <v>1069</v>
      </c>
      <c r="I2091" s="12" t="s">
        <v>1072</v>
      </c>
      <c r="K2091" s="16">
        <v>70.95</v>
      </c>
      <c r="L2091" s="16">
        <v>103.65</v>
      </c>
      <c r="M2091" s="16">
        <v>43.24</v>
      </c>
    </row>
    <row r="2092" spans="1:13" ht="22.5" outlineLevel="3" x14ac:dyDescent="0.2">
      <c r="B2092" s="4" t="str">
        <f>"0010670100"</f>
        <v>0010670100</v>
      </c>
      <c r="C2092" s="5" t="str">
        <f>"397053"</f>
        <v>397053</v>
      </c>
      <c r="D2092" s="12" t="s">
        <v>1068</v>
      </c>
      <c r="E2092" s="14" t="s">
        <v>295</v>
      </c>
      <c r="F2092" s="12" t="s">
        <v>216</v>
      </c>
      <c r="G2092" s="15">
        <v>100</v>
      </c>
      <c r="H2092" s="12" t="s">
        <v>1069</v>
      </c>
      <c r="I2092" s="12" t="s">
        <v>79</v>
      </c>
      <c r="J2092" s="2" t="s">
        <v>1400</v>
      </c>
      <c r="K2092" s="16">
        <v>27.09</v>
      </c>
      <c r="L2092" s="16">
        <v>41.24</v>
      </c>
      <c r="M2092" s="16">
        <v>43.24</v>
      </c>
    </row>
    <row r="2093" spans="1:13" outlineLevel="3" x14ac:dyDescent="0.2">
      <c r="B2093" s="4" t="str">
        <f>"0010670100"</f>
        <v>0010670100</v>
      </c>
      <c r="C2093" s="5" t="str">
        <f>"055073"</f>
        <v>055073</v>
      </c>
      <c r="D2093" s="12" t="s">
        <v>1070</v>
      </c>
      <c r="E2093" s="14" t="s">
        <v>295</v>
      </c>
      <c r="F2093" s="12" t="s">
        <v>216</v>
      </c>
      <c r="G2093" s="15">
        <v>100</v>
      </c>
      <c r="H2093" s="12" t="s">
        <v>1069</v>
      </c>
      <c r="I2093" s="12" t="s">
        <v>577</v>
      </c>
      <c r="K2093" s="16">
        <v>27.09</v>
      </c>
      <c r="L2093" s="16">
        <v>41.24</v>
      </c>
      <c r="M2093" s="16">
        <v>43.24</v>
      </c>
    </row>
    <row r="2094" spans="1:13" outlineLevel="2" x14ac:dyDescent="0.2"/>
    <row r="2095" spans="1:13" ht="22.5" outlineLevel="3" x14ac:dyDescent="0.2">
      <c r="B2095" s="4" t="str">
        <f>"0010680050"</f>
        <v>0010680050</v>
      </c>
      <c r="C2095" s="5" t="str">
        <f>"108837"</f>
        <v>108837</v>
      </c>
      <c r="D2095" s="12" t="s">
        <v>1071</v>
      </c>
      <c r="E2095" s="14" t="s">
        <v>66</v>
      </c>
      <c r="F2095" s="12" t="s">
        <v>73</v>
      </c>
      <c r="G2095" s="15">
        <v>50</v>
      </c>
      <c r="H2095" s="12" t="s">
        <v>1069</v>
      </c>
      <c r="I2095" s="12" t="s">
        <v>1072</v>
      </c>
      <c r="K2095" s="16">
        <v>70.95</v>
      </c>
      <c r="L2095" s="16">
        <v>103.65</v>
      </c>
      <c r="M2095" s="16">
        <v>36.68</v>
      </c>
    </row>
    <row r="2096" spans="1:13" ht="33.75" outlineLevel="3" x14ac:dyDescent="0.2">
      <c r="B2096" s="4" t="str">
        <f>"0010680050"</f>
        <v>0010680050</v>
      </c>
      <c r="C2096" s="5" t="str">
        <f>"430600"</f>
        <v>430600</v>
      </c>
      <c r="D2096" s="12" t="s">
        <v>1068</v>
      </c>
      <c r="E2096" s="14" t="s">
        <v>66</v>
      </c>
      <c r="F2096" s="12" t="s">
        <v>3</v>
      </c>
      <c r="G2096" s="15">
        <v>50</v>
      </c>
      <c r="H2096" s="12" t="s">
        <v>1069</v>
      </c>
      <c r="I2096" s="12" t="s">
        <v>79</v>
      </c>
      <c r="J2096" s="2" t="s">
        <v>1400</v>
      </c>
      <c r="K2096" s="16">
        <v>23.01</v>
      </c>
      <c r="L2096" s="16">
        <v>35.18</v>
      </c>
      <c r="M2096" s="16">
        <v>36.68</v>
      </c>
    </row>
    <row r="2097" spans="1:13" ht="33.75" outlineLevel="3" x14ac:dyDescent="0.2">
      <c r="B2097" s="4" t="str">
        <f>"0010680050"</f>
        <v>0010680050</v>
      </c>
      <c r="C2097" s="5" t="str">
        <f>"038365"</f>
        <v>038365</v>
      </c>
      <c r="D2097" s="12" t="s">
        <v>1073</v>
      </c>
      <c r="E2097" s="14" t="s">
        <v>66</v>
      </c>
      <c r="F2097" s="12" t="s">
        <v>3</v>
      </c>
      <c r="G2097" s="15">
        <v>50</v>
      </c>
      <c r="H2097" s="12" t="s">
        <v>1069</v>
      </c>
      <c r="I2097" s="12" t="s">
        <v>68</v>
      </c>
      <c r="K2097" s="16">
        <v>23.01</v>
      </c>
      <c r="L2097" s="16">
        <v>35.18</v>
      </c>
      <c r="M2097" s="16">
        <v>36.68</v>
      </c>
    </row>
    <row r="2098" spans="1:13" ht="33.75" outlineLevel="3" x14ac:dyDescent="0.2">
      <c r="B2098" s="4" t="str">
        <f>"0010680050"</f>
        <v>0010680050</v>
      </c>
      <c r="C2098" s="5" t="str">
        <f>"055084"</f>
        <v>055084</v>
      </c>
      <c r="D2098" s="12" t="s">
        <v>1070</v>
      </c>
      <c r="E2098" s="14" t="s">
        <v>66</v>
      </c>
      <c r="F2098" s="12" t="s">
        <v>3</v>
      </c>
      <c r="G2098" s="15">
        <v>50</v>
      </c>
      <c r="H2098" s="12" t="s">
        <v>1069</v>
      </c>
      <c r="I2098" s="12" t="s">
        <v>577</v>
      </c>
      <c r="K2098" s="16">
        <v>23.01</v>
      </c>
      <c r="L2098" s="16">
        <v>35.18</v>
      </c>
      <c r="M2098" s="16">
        <v>36.68</v>
      </c>
    </row>
    <row r="2099" spans="1:13" ht="33.75" outlineLevel="3" x14ac:dyDescent="0.2">
      <c r="B2099" s="4" t="str">
        <f>"0010680050"</f>
        <v>0010680050</v>
      </c>
      <c r="C2099" s="5" t="str">
        <f>"089338"</f>
        <v>089338</v>
      </c>
      <c r="D2099" s="12" t="s">
        <v>1074</v>
      </c>
      <c r="E2099" s="14" t="s">
        <v>66</v>
      </c>
      <c r="F2099" s="12" t="s">
        <v>3</v>
      </c>
      <c r="G2099" s="15">
        <v>50</v>
      </c>
      <c r="H2099" s="12" t="s">
        <v>1069</v>
      </c>
      <c r="I2099" s="12" t="s">
        <v>70</v>
      </c>
      <c r="K2099" s="16">
        <v>23.01</v>
      </c>
      <c r="L2099" s="16">
        <v>35.18</v>
      </c>
      <c r="M2099" s="16">
        <v>36.68</v>
      </c>
    </row>
    <row r="2100" spans="1:13" outlineLevel="1" x14ac:dyDescent="0.2">
      <c r="A2100" s="3"/>
    </row>
    <row r="2101" spans="1:13" outlineLevel="2" x14ac:dyDescent="0.2">
      <c r="A2101" s="3" t="s">
        <v>1518</v>
      </c>
    </row>
    <row r="2102" spans="1:13" ht="33.75" outlineLevel="3" x14ac:dyDescent="0.2">
      <c r="B2102" s="4" t="str">
        <f>"0011900030"</f>
        <v>0011900030</v>
      </c>
      <c r="C2102" s="5" t="str">
        <f>"053397"</f>
        <v>053397</v>
      </c>
      <c r="D2102" s="12" t="s">
        <v>1179</v>
      </c>
      <c r="E2102" s="14" t="s">
        <v>14</v>
      </c>
      <c r="F2102" s="12" t="s">
        <v>3</v>
      </c>
      <c r="G2102" s="15">
        <v>30</v>
      </c>
      <c r="H2102" s="12" t="s">
        <v>1180</v>
      </c>
      <c r="I2102" s="12" t="s">
        <v>1181</v>
      </c>
      <c r="K2102" s="16">
        <v>11.06</v>
      </c>
      <c r="L2102" s="16">
        <v>17.440000000000001</v>
      </c>
      <c r="M2102" s="16">
        <v>17.07</v>
      </c>
    </row>
    <row r="2103" spans="1:13" ht="45" outlineLevel="3" x14ac:dyDescent="0.2">
      <c r="B2103" s="4" t="str">
        <f>"0011900030"</f>
        <v>0011900030</v>
      </c>
      <c r="C2103" s="5" t="str">
        <f>"196939"</f>
        <v>196939</v>
      </c>
      <c r="D2103" s="12" t="s">
        <v>1182</v>
      </c>
      <c r="E2103" s="14" t="s">
        <v>14</v>
      </c>
      <c r="F2103" s="12" t="s">
        <v>3</v>
      </c>
      <c r="G2103" s="15">
        <v>30</v>
      </c>
      <c r="H2103" s="12" t="s">
        <v>1180</v>
      </c>
      <c r="I2103" s="12" t="s">
        <v>348</v>
      </c>
      <c r="K2103" s="16">
        <v>11.06</v>
      </c>
      <c r="L2103" s="16">
        <v>17.440000000000001</v>
      </c>
      <c r="M2103" s="16">
        <v>17.07</v>
      </c>
    </row>
    <row r="2104" spans="1:13" ht="33.75" outlineLevel="3" x14ac:dyDescent="0.2">
      <c r="B2104" s="4" t="str">
        <f>"0011900030"</f>
        <v>0011900030</v>
      </c>
      <c r="C2104" s="5" t="str">
        <f>"472892"</f>
        <v>472892</v>
      </c>
      <c r="D2104" s="12" t="s">
        <v>1183</v>
      </c>
      <c r="E2104" s="14" t="s">
        <v>14</v>
      </c>
      <c r="F2104" s="12" t="s">
        <v>3</v>
      </c>
      <c r="G2104" s="15">
        <v>30</v>
      </c>
      <c r="H2104" s="12" t="s">
        <v>1180</v>
      </c>
      <c r="I2104" s="12" t="s">
        <v>60</v>
      </c>
      <c r="K2104" s="16">
        <v>9.8000000000000007</v>
      </c>
      <c r="L2104" s="16">
        <v>15.57</v>
      </c>
      <c r="M2104" s="16">
        <v>17.07</v>
      </c>
    </row>
    <row r="2105" spans="1:13" outlineLevel="2" x14ac:dyDescent="0.2"/>
    <row r="2106" spans="1:13" ht="33.75" outlineLevel="3" x14ac:dyDescent="0.2">
      <c r="B2106" s="4" t="str">
        <f>"0011900100"</f>
        <v>0011900100</v>
      </c>
      <c r="C2106" s="5" t="str">
        <f>"053413"</f>
        <v>053413</v>
      </c>
      <c r="D2106" s="12" t="s">
        <v>1179</v>
      </c>
      <c r="E2106" s="14" t="s">
        <v>14</v>
      </c>
      <c r="F2106" s="12" t="s">
        <v>3</v>
      </c>
      <c r="G2106" s="15">
        <v>100</v>
      </c>
      <c r="H2106" s="12" t="s">
        <v>1180</v>
      </c>
      <c r="I2106" s="12" t="s">
        <v>1181</v>
      </c>
      <c r="K2106" s="16">
        <v>51.45</v>
      </c>
      <c r="L2106" s="16">
        <v>76.84</v>
      </c>
      <c r="M2106" s="16">
        <v>75.95</v>
      </c>
    </row>
    <row r="2107" spans="1:13" ht="45" outlineLevel="3" x14ac:dyDescent="0.2">
      <c r="B2107" s="4" t="str">
        <f>"0011900100"</f>
        <v>0011900100</v>
      </c>
      <c r="C2107" s="5" t="str">
        <f>"429989"</f>
        <v>429989</v>
      </c>
      <c r="D2107" s="12" t="s">
        <v>1182</v>
      </c>
      <c r="E2107" s="14" t="s">
        <v>14</v>
      </c>
      <c r="F2107" s="12" t="s">
        <v>3</v>
      </c>
      <c r="G2107" s="15">
        <v>100</v>
      </c>
      <c r="H2107" s="12" t="s">
        <v>1180</v>
      </c>
      <c r="I2107" s="12" t="s">
        <v>348</v>
      </c>
      <c r="K2107" s="16">
        <v>51.45</v>
      </c>
      <c r="L2107" s="16">
        <v>76.84</v>
      </c>
      <c r="M2107" s="16">
        <v>75.95</v>
      </c>
    </row>
    <row r="2108" spans="1:13" ht="33.75" outlineLevel="3" x14ac:dyDescent="0.2">
      <c r="B2108" s="4" t="str">
        <f>"0011900100"</f>
        <v>0011900100</v>
      </c>
      <c r="C2108" s="5" t="str">
        <f>"155273"</f>
        <v>155273</v>
      </c>
      <c r="D2108" s="12" t="s">
        <v>1183</v>
      </c>
      <c r="E2108" s="14" t="s">
        <v>14</v>
      </c>
      <c r="F2108" s="12" t="s">
        <v>3</v>
      </c>
      <c r="G2108" s="15">
        <v>100</v>
      </c>
      <c r="H2108" s="12" t="s">
        <v>1180</v>
      </c>
      <c r="I2108" s="12" t="s">
        <v>60</v>
      </c>
      <c r="K2108" s="16">
        <v>49.35</v>
      </c>
      <c r="L2108" s="16">
        <v>73.95</v>
      </c>
      <c r="M2108" s="16">
        <v>75.95</v>
      </c>
    </row>
    <row r="2109" spans="1:13" outlineLevel="1" x14ac:dyDescent="0.2">
      <c r="A2109" s="3"/>
    </row>
    <row r="2110" spans="1:13" outlineLevel="2" x14ac:dyDescent="0.2">
      <c r="A2110" s="3" t="s">
        <v>1519</v>
      </c>
    </row>
    <row r="2111" spans="1:13" ht="33.75" outlineLevel="3" x14ac:dyDescent="0.2">
      <c r="B2111" s="4" t="str">
        <f>"0002740100"</f>
        <v>0002740100</v>
      </c>
      <c r="C2111" s="5" t="str">
        <f>"569160"</f>
        <v>569160</v>
      </c>
      <c r="D2111" s="12" t="s">
        <v>360</v>
      </c>
      <c r="E2111" s="14" t="s">
        <v>102</v>
      </c>
      <c r="F2111" s="12" t="s">
        <v>3</v>
      </c>
      <c r="G2111" s="15">
        <v>100</v>
      </c>
      <c r="H2111" s="12" t="s">
        <v>359</v>
      </c>
      <c r="I2111" s="12" t="s">
        <v>39</v>
      </c>
      <c r="K2111" s="16">
        <v>7.19</v>
      </c>
      <c r="L2111" s="16">
        <v>11.47</v>
      </c>
      <c r="M2111" s="16">
        <v>10.43</v>
      </c>
    </row>
    <row r="2112" spans="1:13" ht="45" outlineLevel="3" x14ac:dyDescent="0.2">
      <c r="B2112" s="4" t="str">
        <f>"0002740100"</f>
        <v>0002740100</v>
      </c>
      <c r="C2112" s="5" t="str">
        <f>"511257"</f>
        <v>511257</v>
      </c>
      <c r="D2112" s="12" t="s">
        <v>358</v>
      </c>
      <c r="E2112" s="14" t="s">
        <v>102</v>
      </c>
      <c r="F2112" s="12" t="s">
        <v>3</v>
      </c>
      <c r="G2112" s="15">
        <v>100</v>
      </c>
      <c r="H2112" s="12" t="s">
        <v>359</v>
      </c>
      <c r="I2112" s="12" t="s">
        <v>348</v>
      </c>
      <c r="K2112" s="16">
        <v>5.6</v>
      </c>
      <c r="L2112" s="16">
        <v>8.93</v>
      </c>
      <c r="M2112" s="16">
        <v>10.43</v>
      </c>
    </row>
    <row r="2113" spans="1:13" outlineLevel="2" x14ac:dyDescent="0.2"/>
    <row r="2114" spans="1:13" ht="33.75" outlineLevel="3" x14ac:dyDescent="0.2">
      <c r="B2114" s="4" t="str">
        <f>"0002750100"</f>
        <v>0002750100</v>
      </c>
      <c r="C2114" s="5" t="str">
        <f>"075009"</f>
        <v>075009</v>
      </c>
      <c r="D2114" s="12" t="s">
        <v>361</v>
      </c>
      <c r="E2114" s="14" t="s">
        <v>106</v>
      </c>
      <c r="F2114" s="12" t="s">
        <v>3</v>
      </c>
      <c r="G2114" s="15">
        <v>100</v>
      </c>
      <c r="H2114" s="12" t="s">
        <v>359</v>
      </c>
      <c r="I2114" s="12" t="s">
        <v>362</v>
      </c>
      <c r="K2114" s="16">
        <v>11.98</v>
      </c>
      <c r="L2114" s="16">
        <v>18.8</v>
      </c>
      <c r="M2114" s="16">
        <v>17.96</v>
      </c>
    </row>
    <row r="2115" spans="1:13" ht="33.75" outlineLevel="3" x14ac:dyDescent="0.2">
      <c r="B2115" s="4" t="str">
        <f>"0002750100"</f>
        <v>0002750100</v>
      </c>
      <c r="C2115" s="5" t="str">
        <f>"469163"</f>
        <v>469163</v>
      </c>
      <c r="D2115" s="12" t="s">
        <v>360</v>
      </c>
      <c r="E2115" s="14" t="s">
        <v>106</v>
      </c>
      <c r="F2115" s="12" t="s">
        <v>3</v>
      </c>
      <c r="G2115" s="15">
        <v>100</v>
      </c>
      <c r="H2115" s="12" t="s">
        <v>359</v>
      </c>
      <c r="I2115" s="12" t="s">
        <v>39</v>
      </c>
      <c r="K2115" s="16">
        <v>11.98</v>
      </c>
      <c r="L2115" s="16">
        <v>18.8</v>
      </c>
      <c r="M2115" s="16">
        <v>17.96</v>
      </c>
    </row>
    <row r="2116" spans="1:13" ht="45" outlineLevel="3" x14ac:dyDescent="0.2">
      <c r="B2116" s="4" t="str">
        <f>"0002750100"</f>
        <v>0002750100</v>
      </c>
      <c r="C2116" s="5" t="str">
        <f>"071108"</f>
        <v>071108</v>
      </c>
      <c r="D2116" s="12" t="s">
        <v>358</v>
      </c>
      <c r="E2116" s="14" t="s">
        <v>106</v>
      </c>
      <c r="F2116" s="12" t="s">
        <v>3</v>
      </c>
      <c r="G2116" s="15">
        <v>100</v>
      </c>
      <c r="H2116" s="12" t="s">
        <v>359</v>
      </c>
      <c r="I2116" s="12" t="s">
        <v>348</v>
      </c>
      <c r="K2116" s="16">
        <v>10.4</v>
      </c>
      <c r="L2116" s="16">
        <v>16.46</v>
      </c>
      <c r="M2116" s="16">
        <v>17.96</v>
      </c>
    </row>
    <row r="2117" spans="1:13" outlineLevel="2" x14ac:dyDescent="0.2"/>
    <row r="2118" spans="1:13" ht="33.75" outlineLevel="3" x14ac:dyDescent="0.2">
      <c r="B2118" s="4" t="str">
        <f>"0002750250"</f>
        <v>0002750250</v>
      </c>
      <c r="C2118" s="5" t="str">
        <f>"469213"</f>
        <v>469213</v>
      </c>
      <c r="D2118" s="12" t="s">
        <v>360</v>
      </c>
      <c r="E2118" s="14" t="s">
        <v>106</v>
      </c>
      <c r="F2118" s="12" t="s">
        <v>3</v>
      </c>
      <c r="G2118" s="15">
        <v>250</v>
      </c>
      <c r="H2118" s="12" t="s">
        <v>359</v>
      </c>
      <c r="I2118" s="12" t="s">
        <v>39</v>
      </c>
      <c r="K2118" s="16">
        <v>28.75</v>
      </c>
      <c r="L2118" s="16">
        <v>43.7</v>
      </c>
      <c r="M2118" s="16">
        <v>45.7</v>
      </c>
    </row>
    <row r="2119" spans="1:13" outlineLevel="1" x14ac:dyDescent="0.2">
      <c r="A2119" s="3"/>
    </row>
    <row r="2120" spans="1:13" outlineLevel="2" x14ac:dyDescent="0.2">
      <c r="A2120" s="3" t="s">
        <v>1520</v>
      </c>
    </row>
    <row r="2121" spans="1:13" outlineLevel="3" x14ac:dyDescent="0.2">
      <c r="B2121" s="4" t="str">
        <f>"0002550030"</f>
        <v>0002550030</v>
      </c>
      <c r="C2121" s="5" t="str">
        <f>"561423"</f>
        <v>561423</v>
      </c>
      <c r="D2121" s="12" t="s">
        <v>343</v>
      </c>
      <c r="E2121" s="14" t="s">
        <v>136</v>
      </c>
      <c r="F2121" s="12" t="s">
        <v>73</v>
      </c>
      <c r="G2121" s="15">
        <v>30</v>
      </c>
      <c r="H2121" s="12" t="s">
        <v>344</v>
      </c>
      <c r="I2121" s="12" t="s">
        <v>58</v>
      </c>
      <c r="K2121" s="16">
        <v>5.27</v>
      </c>
      <c r="L2121" s="16">
        <v>8.4</v>
      </c>
      <c r="M2121" s="16">
        <v>9.9</v>
      </c>
    </row>
    <row r="2122" spans="1:13" outlineLevel="2" x14ac:dyDescent="0.2"/>
    <row r="2123" spans="1:13" outlineLevel="3" x14ac:dyDescent="0.2">
      <c r="B2123" s="4" t="str">
        <f>"0002550100"</f>
        <v>0002550100</v>
      </c>
      <c r="C2123" s="5" t="str">
        <f>"545368"</f>
        <v>545368</v>
      </c>
      <c r="D2123" s="12" t="s">
        <v>343</v>
      </c>
      <c r="E2123" s="14" t="s">
        <v>136</v>
      </c>
      <c r="F2123" s="12" t="s">
        <v>73</v>
      </c>
      <c r="G2123" s="15">
        <v>100</v>
      </c>
      <c r="H2123" s="12" t="s">
        <v>344</v>
      </c>
      <c r="I2123" s="12" t="s">
        <v>58</v>
      </c>
      <c r="K2123" s="16">
        <v>13.87</v>
      </c>
      <c r="L2123" s="16">
        <v>21.6</v>
      </c>
      <c r="M2123" s="16">
        <v>21.1</v>
      </c>
    </row>
    <row r="2124" spans="1:13" outlineLevel="3" x14ac:dyDescent="0.2">
      <c r="B2124" s="4" t="str">
        <f>"0002550100"</f>
        <v>0002550100</v>
      </c>
      <c r="C2124" s="5" t="str">
        <f>"158384"</f>
        <v>158384</v>
      </c>
      <c r="D2124" s="12" t="s">
        <v>343</v>
      </c>
      <c r="E2124" s="14" t="s">
        <v>136</v>
      </c>
      <c r="F2124" s="12" t="s">
        <v>73</v>
      </c>
      <c r="G2124" s="15">
        <v>100</v>
      </c>
      <c r="H2124" s="12" t="s">
        <v>344</v>
      </c>
      <c r="I2124" s="12" t="s">
        <v>75</v>
      </c>
      <c r="K2124" s="16">
        <v>12.52</v>
      </c>
      <c r="L2124" s="16">
        <v>19.600000000000001</v>
      </c>
      <c r="M2124" s="16">
        <v>21.1</v>
      </c>
    </row>
    <row r="2125" spans="1:13" outlineLevel="1" x14ac:dyDescent="0.2">
      <c r="A2125" s="3"/>
    </row>
    <row r="2126" spans="1:13" outlineLevel="2" x14ac:dyDescent="0.2">
      <c r="A2126" s="3" t="s">
        <v>1521</v>
      </c>
    </row>
    <row r="2127" spans="1:13" outlineLevel="3" x14ac:dyDescent="0.2">
      <c r="B2127" s="4" t="str">
        <f>"0002810030"</f>
        <v>0002810030</v>
      </c>
      <c r="C2127" s="5" t="str">
        <f>"558049"</f>
        <v>558049</v>
      </c>
      <c r="D2127" s="12" t="s">
        <v>363</v>
      </c>
      <c r="E2127" s="14" t="s">
        <v>102</v>
      </c>
      <c r="F2127" s="12" t="s">
        <v>19</v>
      </c>
      <c r="G2127" s="15">
        <v>30</v>
      </c>
      <c r="H2127" s="12" t="s">
        <v>364</v>
      </c>
      <c r="I2127" s="12" t="s">
        <v>5</v>
      </c>
      <c r="K2127" s="16">
        <v>2.38</v>
      </c>
      <c r="L2127" s="16">
        <v>3.8</v>
      </c>
      <c r="M2127" s="16">
        <v>5.3</v>
      </c>
    </row>
    <row r="2128" spans="1:13" outlineLevel="2" x14ac:dyDescent="0.2"/>
    <row r="2129" spans="1:13" outlineLevel="3" x14ac:dyDescent="0.2">
      <c r="B2129" s="4" t="str">
        <f>"0002830030"</f>
        <v>0002830030</v>
      </c>
      <c r="C2129" s="5" t="str">
        <f>"139063"</f>
        <v>139063</v>
      </c>
      <c r="D2129" s="12" t="s">
        <v>365</v>
      </c>
      <c r="E2129" s="14" t="s">
        <v>106</v>
      </c>
      <c r="F2129" s="12" t="s">
        <v>19</v>
      </c>
      <c r="G2129" s="15">
        <v>30</v>
      </c>
      <c r="H2129" s="12" t="s">
        <v>364</v>
      </c>
      <c r="I2129" s="12" t="s">
        <v>109</v>
      </c>
      <c r="K2129" s="16">
        <v>4.1100000000000003</v>
      </c>
      <c r="L2129" s="16">
        <v>6.56</v>
      </c>
      <c r="M2129" s="16">
        <v>8.06</v>
      </c>
    </row>
    <row r="2130" spans="1:13" outlineLevel="3" x14ac:dyDescent="0.2">
      <c r="B2130" s="4" t="str">
        <f>"0002830030"</f>
        <v>0002830030</v>
      </c>
      <c r="C2130" s="5" t="str">
        <f>"558064"</f>
        <v>558064</v>
      </c>
      <c r="D2130" s="12" t="s">
        <v>363</v>
      </c>
      <c r="E2130" s="14" t="s">
        <v>106</v>
      </c>
      <c r="F2130" s="12" t="s">
        <v>19</v>
      </c>
      <c r="G2130" s="15">
        <v>30</v>
      </c>
      <c r="H2130" s="12" t="s">
        <v>364</v>
      </c>
      <c r="I2130" s="12" t="s">
        <v>5</v>
      </c>
      <c r="K2130" s="16">
        <v>4.1100000000000003</v>
      </c>
      <c r="L2130" s="16">
        <v>6.56</v>
      </c>
      <c r="M2130" s="16">
        <v>8.06</v>
      </c>
    </row>
    <row r="2131" spans="1:13" outlineLevel="2" x14ac:dyDescent="0.2"/>
    <row r="2132" spans="1:13" outlineLevel="3" x14ac:dyDescent="0.2">
      <c r="B2132" s="4" t="str">
        <f>"0002830100"</f>
        <v>0002830100</v>
      </c>
      <c r="C2132" s="5" t="str">
        <f>"003988"</f>
        <v>003988</v>
      </c>
      <c r="D2132" s="12" t="s">
        <v>365</v>
      </c>
      <c r="E2132" s="14" t="s">
        <v>106</v>
      </c>
      <c r="F2132" s="12" t="s">
        <v>19</v>
      </c>
      <c r="G2132" s="15">
        <v>100</v>
      </c>
      <c r="H2132" s="12" t="s">
        <v>364</v>
      </c>
      <c r="I2132" s="12" t="s">
        <v>109</v>
      </c>
      <c r="K2132" s="16">
        <v>12.83</v>
      </c>
      <c r="L2132" s="16">
        <v>20.059999999999999</v>
      </c>
      <c r="M2132" s="16">
        <v>21.56</v>
      </c>
    </row>
    <row r="2133" spans="1:13" outlineLevel="3" x14ac:dyDescent="0.2">
      <c r="B2133" s="4" t="str">
        <f>"0002830100"</f>
        <v>0002830100</v>
      </c>
      <c r="C2133" s="5" t="str">
        <f>"487827"</f>
        <v>487827</v>
      </c>
      <c r="D2133" s="12" t="s">
        <v>363</v>
      </c>
      <c r="E2133" s="14" t="s">
        <v>106</v>
      </c>
      <c r="F2133" s="12" t="s">
        <v>19</v>
      </c>
      <c r="G2133" s="15">
        <v>100</v>
      </c>
      <c r="H2133" s="12" t="s">
        <v>364</v>
      </c>
      <c r="I2133" s="12" t="s">
        <v>5</v>
      </c>
      <c r="K2133" s="16">
        <v>12.83</v>
      </c>
      <c r="L2133" s="16">
        <v>20.059999999999999</v>
      </c>
      <c r="M2133" s="16">
        <v>21.56</v>
      </c>
    </row>
    <row r="2134" spans="1:13" ht="33.75" outlineLevel="3" x14ac:dyDescent="0.2">
      <c r="B2134" s="4" t="str">
        <f>"0002840030"</f>
        <v>0002840030</v>
      </c>
      <c r="C2134" s="5" t="str">
        <f>"033498"</f>
        <v>033498</v>
      </c>
      <c r="D2134" s="12" t="s">
        <v>366</v>
      </c>
      <c r="E2134" s="14" t="s">
        <v>106</v>
      </c>
      <c r="F2134" s="12" t="s">
        <v>3</v>
      </c>
      <c r="G2134" s="15">
        <v>30</v>
      </c>
      <c r="H2134" s="12" t="s">
        <v>364</v>
      </c>
      <c r="I2134" s="12" t="s">
        <v>6</v>
      </c>
      <c r="K2134" s="16">
        <v>2.82</v>
      </c>
      <c r="L2134" s="16">
        <v>4.5</v>
      </c>
      <c r="M2134" s="16">
        <v>5.65</v>
      </c>
    </row>
    <row r="2135" spans="1:13" ht="22.5" outlineLevel="3" x14ac:dyDescent="0.2">
      <c r="B2135" s="4" t="str">
        <f>"0002840030"</f>
        <v>0002840030</v>
      </c>
      <c r="C2135" s="5" t="str">
        <f>"489609"</f>
        <v>489609</v>
      </c>
      <c r="D2135" s="12" t="s">
        <v>369</v>
      </c>
      <c r="E2135" s="14" t="s">
        <v>106</v>
      </c>
      <c r="F2135" s="12" t="s">
        <v>220</v>
      </c>
      <c r="G2135" s="15">
        <v>30</v>
      </c>
      <c r="H2135" s="12" t="s">
        <v>364</v>
      </c>
      <c r="I2135" s="12" t="s">
        <v>109</v>
      </c>
      <c r="K2135" s="16">
        <v>2.82</v>
      </c>
      <c r="L2135" s="16">
        <v>4.5</v>
      </c>
      <c r="M2135" s="16">
        <v>5.65</v>
      </c>
    </row>
    <row r="2136" spans="1:13" ht="33.75" outlineLevel="3" x14ac:dyDescent="0.2">
      <c r="B2136" s="4" t="str">
        <f>"0002840030"</f>
        <v>0002840030</v>
      </c>
      <c r="C2136" s="5" t="str">
        <f>"104656"</f>
        <v>104656</v>
      </c>
      <c r="D2136" s="12" t="s">
        <v>367</v>
      </c>
      <c r="E2136" s="14" t="s">
        <v>106</v>
      </c>
      <c r="F2136" s="12" t="s">
        <v>3</v>
      </c>
      <c r="G2136" s="15">
        <v>30</v>
      </c>
      <c r="H2136" s="12" t="s">
        <v>364</v>
      </c>
      <c r="I2136" s="12" t="s">
        <v>64</v>
      </c>
      <c r="K2136" s="16">
        <v>2.6</v>
      </c>
      <c r="L2136" s="16">
        <v>4.1500000000000004</v>
      </c>
      <c r="M2136" s="16">
        <v>5.65</v>
      </c>
    </row>
    <row r="2137" spans="1:13" ht="33.75" outlineLevel="3" x14ac:dyDescent="0.2">
      <c r="B2137" s="4" t="str">
        <f>"0002840030"</f>
        <v>0002840030</v>
      </c>
      <c r="C2137" s="5" t="str">
        <f>"403514"</f>
        <v>403514</v>
      </c>
      <c r="D2137" s="12" t="s">
        <v>368</v>
      </c>
      <c r="E2137" s="14" t="s">
        <v>106</v>
      </c>
      <c r="F2137" s="12" t="s">
        <v>3</v>
      </c>
      <c r="G2137" s="15">
        <v>30</v>
      </c>
      <c r="H2137" s="12" t="s">
        <v>364</v>
      </c>
      <c r="I2137" s="12" t="s">
        <v>293</v>
      </c>
      <c r="K2137" s="16">
        <v>2.6</v>
      </c>
      <c r="L2137" s="16">
        <v>4.1500000000000004</v>
      </c>
      <c r="M2137" s="16">
        <v>5.65</v>
      </c>
    </row>
    <row r="2138" spans="1:13" outlineLevel="2" x14ac:dyDescent="0.2"/>
    <row r="2139" spans="1:13" ht="33.75" outlineLevel="3" x14ac:dyDescent="0.2">
      <c r="B2139" s="4" t="str">
        <f>"0002840100"</f>
        <v>0002840100</v>
      </c>
      <c r="C2139" s="5" t="str">
        <f>"033357"</f>
        <v>033357</v>
      </c>
      <c r="D2139" s="12" t="s">
        <v>366</v>
      </c>
      <c r="E2139" s="14" t="s">
        <v>106</v>
      </c>
      <c r="F2139" s="12" t="s">
        <v>3</v>
      </c>
      <c r="G2139" s="15">
        <v>100</v>
      </c>
      <c r="H2139" s="12" t="s">
        <v>364</v>
      </c>
      <c r="I2139" s="12" t="s">
        <v>6</v>
      </c>
      <c r="K2139" s="16">
        <v>5.62</v>
      </c>
      <c r="L2139" s="16">
        <v>8.9700000000000006</v>
      </c>
      <c r="M2139" s="16">
        <v>8.91</v>
      </c>
    </row>
    <row r="2140" spans="1:13" ht="33.75" outlineLevel="3" x14ac:dyDescent="0.2">
      <c r="B2140" s="4" t="str">
        <f>"0002840100"</f>
        <v>0002840100</v>
      </c>
      <c r="C2140" s="5" t="str">
        <f>"068503"</f>
        <v>068503</v>
      </c>
      <c r="D2140" s="12" t="s">
        <v>368</v>
      </c>
      <c r="E2140" s="14" t="s">
        <v>106</v>
      </c>
      <c r="F2140" s="12" t="s">
        <v>3</v>
      </c>
      <c r="G2140" s="15">
        <v>100</v>
      </c>
      <c r="H2140" s="12" t="s">
        <v>364</v>
      </c>
      <c r="I2140" s="12" t="s">
        <v>293</v>
      </c>
      <c r="K2140" s="16">
        <v>5.0999999999999996</v>
      </c>
      <c r="L2140" s="16">
        <v>8.14</v>
      </c>
      <c r="M2140" s="16">
        <v>8.91</v>
      </c>
    </row>
    <row r="2141" spans="1:13" ht="33.75" outlineLevel="3" x14ac:dyDescent="0.2">
      <c r="B2141" s="4" t="str">
        <f>"0002840100"</f>
        <v>0002840100</v>
      </c>
      <c r="C2141" s="5" t="str">
        <f>"561256"</f>
        <v>561256</v>
      </c>
      <c r="D2141" s="12" t="s">
        <v>367</v>
      </c>
      <c r="E2141" s="14" t="s">
        <v>106</v>
      </c>
      <c r="F2141" s="12" t="s">
        <v>3</v>
      </c>
      <c r="G2141" s="15">
        <v>100</v>
      </c>
      <c r="H2141" s="12" t="s">
        <v>364</v>
      </c>
      <c r="I2141" s="12" t="s">
        <v>64</v>
      </c>
      <c r="K2141" s="16">
        <v>4.6500000000000004</v>
      </c>
      <c r="L2141" s="16">
        <v>7.41</v>
      </c>
      <c r="M2141" s="16">
        <v>8.91</v>
      </c>
    </row>
    <row r="2142" spans="1:13" outlineLevel="1" x14ac:dyDescent="0.2">
      <c r="A2142" s="3"/>
    </row>
    <row r="2143" spans="1:13" outlineLevel="2" x14ac:dyDescent="0.2">
      <c r="A2143" s="3" t="s">
        <v>1522</v>
      </c>
    </row>
    <row r="2144" spans="1:13" outlineLevel="3" x14ac:dyDescent="0.2">
      <c r="B2144" s="4" t="str">
        <f>"0002890010"</f>
        <v>0002890010</v>
      </c>
      <c r="C2144" s="5" t="str">
        <f>"017633"</f>
        <v>017633</v>
      </c>
      <c r="D2144" s="12" t="s">
        <v>370</v>
      </c>
      <c r="E2144" s="14" t="s">
        <v>25</v>
      </c>
      <c r="F2144" s="12" t="s">
        <v>73</v>
      </c>
      <c r="G2144" s="15">
        <v>10</v>
      </c>
      <c r="H2144" s="12" t="s">
        <v>371</v>
      </c>
      <c r="I2144" s="12" t="s">
        <v>5</v>
      </c>
      <c r="K2144" s="16">
        <v>1.48</v>
      </c>
      <c r="L2144" s="16">
        <v>2.37</v>
      </c>
      <c r="M2144" s="16">
        <v>3.87</v>
      </c>
    </row>
    <row r="2145" spans="2:13" outlineLevel="3" x14ac:dyDescent="0.2">
      <c r="B2145" s="4" t="str">
        <f>"0002890010"</f>
        <v>0002890010</v>
      </c>
      <c r="C2145" s="5" t="str">
        <f>"036523"</f>
        <v>036523</v>
      </c>
      <c r="D2145" s="12" t="s">
        <v>372</v>
      </c>
      <c r="E2145" s="14" t="s">
        <v>25</v>
      </c>
      <c r="F2145" s="12" t="s">
        <v>73</v>
      </c>
      <c r="G2145" s="15">
        <v>10</v>
      </c>
      <c r="H2145" s="12" t="s">
        <v>371</v>
      </c>
      <c r="I2145" s="12" t="s">
        <v>58</v>
      </c>
      <c r="K2145" s="16">
        <v>1.48</v>
      </c>
      <c r="L2145" s="16">
        <v>2.37</v>
      </c>
      <c r="M2145" s="16">
        <v>3.87</v>
      </c>
    </row>
    <row r="2146" spans="2:13" outlineLevel="2" x14ac:dyDescent="0.2"/>
    <row r="2147" spans="2:13" outlineLevel="3" x14ac:dyDescent="0.2">
      <c r="B2147" s="4" t="str">
        <f>"0002890030"</f>
        <v>0002890030</v>
      </c>
      <c r="C2147" s="5" t="str">
        <f>"017606"</f>
        <v>017606</v>
      </c>
      <c r="D2147" s="12" t="s">
        <v>370</v>
      </c>
      <c r="E2147" s="14" t="s">
        <v>25</v>
      </c>
      <c r="F2147" s="12" t="s">
        <v>73</v>
      </c>
      <c r="G2147" s="15">
        <v>30</v>
      </c>
      <c r="H2147" s="12" t="s">
        <v>371</v>
      </c>
      <c r="I2147" s="12" t="s">
        <v>5</v>
      </c>
      <c r="K2147" s="16">
        <v>4.45</v>
      </c>
      <c r="L2147" s="16">
        <v>7.1</v>
      </c>
      <c r="M2147" s="16">
        <v>8.6</v>
      </c>
    </row>
    <row r="2148" spans="2:13" outlineLevel="3" x14ac:dyDescent="0.2">
      <c r="B2148" s="4" t="str">
        <f>"0002890030"</f>
        <v>0002890030</v>
      </c>
      <c r="C2148" s="5" t="str">
        <f>"036532"</f>
        <v>036532</v>
      </c>
      <c r="D2148" s="12" t="s">
        <v>372</v>
      </c>
      <c r="E2148" s="14" t="s">
        <v>25</v>
      </c>
      <c r="F2148" s="12" t="s">
        <v>73</v>
      </c>
      <c r="G2148" s="15">
        <v>30</v>
      </c>
      <c r="H2148" s="12" t="s">
        <v>371</v>
      </c>
      <c r="I2148" s="12" t="s">
        <v>58</v>
      </c>
      <c r="K2148" s="16">
        <v>4.45</v>
      </c>
      <c r="L2148" s="16">
        <v>7.1</v>
      </c>
      <c r="M2148" s="16">
        <v>8.6</v>
      </c>
    </row>
    <row r="2149" spans="2:13" ht="22.5" outlineLevel="3" x14ac:dyDescent="0.2">
      <c r="B2149" s="4" t="str">
        <f>"0002890030"</f>
        <v>0002890030</v>
      </c>
      <c r="C2149" s="5" t="str">
        <f>"383190"</f>
        <v>383190</v>
      </c>
      <c r="D2149" s="12" t="s">
        <v>373</v>
      </c>
      <c r="E2149" s="14" t="s">
        <v>25</v>
      </c>
      <c r="F2149" s="12" t="s">
        <v>73</v>
      </c>
      <c r="G2149" s="15">
        <v>30</v>
      </c>
      <c r="H2149" s="12" t="s">
        <v>371</v>
      </c>
      <c r="I2149" s="12" t="s">
        <v>374</v>
      </c>
      <c r="K2149" s="16">
        <v>4.45</v>
      </c>
      <c r="L2149" s="16">
        <v>7.1</v>
      </c>
      <c r="M2149" s="16">
        <v>8.6</v>
      </c>
    </row>
    <row r="2150" spans="2:13" outlineLevel="2" x14ac:dyDescent="0.2"/>
    <row r="2151" spans="2:13" outlineLevel="3" x14ac:dyDescent="0.2">
      <c r="B2151" s="4" t="str">
        <f>"0002890100"</f>
        <v>0002890100</v>
      </c>
      <c r="C2151" s="5" t="str">
        <f>"017617"</f>
        <v>017617</v>
      </c>
      <c r="D2151" s="12" t="s">
        <v>370</v>
      </c>
      <c r="E2151" s="14" t="s">
        <v>25</v>
      </c>
      <c r="F2151" s="12" t="s">
        <v>73</v>
      </c>
      <c r="G2151" s="15">
        <v>100</v>
      </c>
      <c r="H2151" s="12" t="s">
        <v>371</v>
      </c>
      <c r="I2151" s="12" t="s">
        <v>5</v>
      </c>
      <c r="K2151" s="16">
        <v>16.84</v>
      </c>
      <c r="L2151" s="16">
        <v>26.02</v>
      </c>
      <c r="M2151" s="16">
        <v>27.52</v>
      </c>
    </row>
    <row r="2152" spans="2:13" outlineLevel="3" x14ac:dyDescent="0.2">
      <c r="B2152" s="4" t="str">
        <f>"0002890100"</f>
        <v>0002890100</v>
      </c>
      <c r="C2152" s="5" t="str">
        <f>"036542"</f>
        <v>036542</v>
      </c>
      <c r="D2152" s="12" t="s">
        <v>372</v>
      </c>
      <c r="E2152" s="14" t="s">
        <v>25</v>
      </c>
      <c r="F2152" s="12" t="s">
        <v>73</v>
      </c>
      <c r="G2152" s="15">
        <v>100</v>
      </c>
      <c r="H2152" s="12" t="s">
        <v>371</v>
      </c>
      <c r="I2152" s="12" t="s">
        <v>58</v>
      </c>
      <c r="K2152" s="16">
        <v>16.84</v>
      </c>
      <c r="L2152" s="16">
        <v>26.02</v>
      </c>
      <c r="M2152" s="16">
        <v>27.52</v>
      </c>
    </row>
    <row r="2153" spans="2:13" ht="22.5" outlineLevel="3" x14ac:dyDescent="0.2">
      <c r="B2153" s="4" t="str">
        <f>"0002890100"</f>
        <v>0002890100</v>
      </c>
      <c r="C2153" s="5" t="str">
        <f>"383208"</f>
        <v>383208</v>
      </c>
      <c r="D2153" s="12" t="s">
        <v>373</v>
      </c>
      <c r="E2153" s="14" t="s">
        <v>25</v>
      </c>
      <c r="F2153" s="12" t="s">
        <v>73</v>
      </c>
      <c r="G2153" s="15">
        <v>100</v>
      </c>
      <c r="H2153" s="12" t="s">
        <v>371</v>
      </c>
      <c r="I2153" s="12" t="s">
        <v>374</v>
      </c>
      <c r="K2153" s="16">
        <v>16.84</v>
      </c>
      <c r="L2153" s="16">
        <v>26.02</v>
      </c>
      <c r="M2153" s="16">
        <v>27.52</v>
      </c>
    </row>
    <row r="2154" spans="2:13" outlineLevel="2" x14ac:dyDescent="0.2"/>
    <row r="2155" spans="2:13" outlineLevel="3" x14ac:dyDescent="0.2">
      <c r="B2155" s="4" t="str">
        <f>"0002900030"</f>
        <v>0002900030</v>
      </c>
      <c r="C2155" s="5" t="str">
        <f>"017614"</f>
        <v>017614</v>
      </c>
      <c r="D2155" s="12" t="s">
        <v>370</v>
      </c>
      <c r="E2155" s="14" t="s">
        <v>375</v>
      </c>
      <c r="F2155" s="12" t="s">
        <v>73</v>
      </c>
      <c r="G2155" s="15">
        <v>30</v>
      </c>
      <c r="H2155" s="12" t="s">
        <v>371</v>
      </c>
      <c r="I2155" s="12" t="s">
        <v>5</v>
      </c>
      <c r="K2155" s="16">
        <v>3.05</v>
      </c>
      <c r="L2155" s="16">
        <v>4.8600000000000003</v>
      </c>
      <c r="M2155" s="16">
        <v>6.36</v>
      </c>
    </row>
    <row r="2156" spans="2:13" outlineLevel="3" x14ac:dyDescent="0.2">
      <c r="B2156" s="4" t="str">
        <f>"0002900030"</f>
        <v>0002900030</v>
      </c>
      <c r="C2156" s="5" t="str">
        <f>"036505"</f>
        <v>036505</v>
      </c>
      <c r="D2156" s="12" t="s">
        <v>372</v>
      </c>
      <c r="E2156" s="14" t="s">
        <v>375</v>
      </c>
      <c r="F2156" s="12" t="s">
        <v>73</v>
      </c>
      <c r="G2156" s="15">
        <v>30</v>
      </c>
      <c r="H2156" s="12" t="s">
        <v>371</v>
      </c>
      <c r="I2156" s="12" t="s">
        <v>58</v>
      </c>
      <c r="K2156" s="16">
        <v>3.05</v>
      </c>
      <c r="L2156" s="16">
        <v>4.8600000000000003</v>
      </c>
      <c r="M2156" s="16">
        <v>6.36</v>
      </c>
    </row>
    <row r="2157" spans="2:13" ht="22.5" outlineLevel="3" x14ac:dyDescent="0.2">
      <c r="B2157" s="4" t="str">
        <f>"0002900030"</f>
        <v>0002900030</v>
      </c>
      <c r="C2157" s="5" t="str">
        <f>"383216"</f>
        <v>383216</v>
      </c>
      <c r="D2157" s="12" t="s">
        <v>373</v>
      </c>
      <c r="E2157" s="14" t="s">
        <v>375</v>
      </c>
      <c r="F2157" s="12" t="s">
        <v>73</v>
      </c>
      <c r="G2157" s="15">
        <v>30</v>
      </c>
      <c r="H2157" s="12" t="s">
        <v>371</v>
      </c>
      <c r="I2157" s="12" t="s">
        <v>374</v>
      </c>
      <c r="K2157" s="16">
        <v>3.05</v>
      </c>
      <c r="L2157" s="16">
        <v>4.8600000000000003</v>
      </c>
      <c r="M2157" s="16">
        <v>6.36</v>
      </c>
    </row>
    <row r="2158" spans="2:13" outlineLevel="2" x14ac:dyDescent="0.2"/>
    <row r="2159" spans="2:13" outlineLevel="3" x14ac:dyDescent="0.2">
      <c r="B2159" s="4" t="str">
        <f>"0002900100"</f>
        <v>0002900100</v>
      </c>
      <c r="C2159" s="5" t="str">
        <f>"017625"</f>
        <v>017625</v>
      </c>
      <c r="D2159" s="12" t="s">
        <v>370</v>
      </c>
      <c r="E2159" s="14" t="s">
        <v>375</v>
      </c>
      <c r="F2159" s="12" t="s">
        <v>73</v>
      </c>
      <c r="G2159" s="15">
        <v>100</v>
      </c>
      <c r="H2159" s="12" t="s">
        <v>371</v>
      </c>
      <c r="I2159" s="12" t="s">
        <v>5</v>
      </c>
      <c r="K2159" s="16">
        <v>9.17</v>
      </c>
      <c r="L2159" s="16">
        <v>14.63</v>
      </c>
      <c r="M2159" s="16">
        <v>16.13</v>
      </c>
    </row>
    <row r="2160" spans="2:13" outlineLevel="3" x14ac:dyDescent="0.2">
      <c r="B2160" s="4" t="str">
        <f>"0002900100"</f>
        <v>0002900100</v>
      </c>
      <c r="C2160" s="5" t="str">
        <f>"036514"</f>
        <v>036514</v>
      </c>
      <c r="D2160" s="12" t="s">
        <v>372</v>
      </c>
      <c r="E2160" s="14" t="s">
        <v>375</v>
      </c>
      <c r="F2160" s="12" t="s">
        <v>73</v>
      </c>
      <c r="G2160" s="15">
        <v>100</v>
      </c>
      <c r="H2160" s="12" t="s">
        <v>371</v>
      </c>
      <c r="I2160" s="12" t="s">
        <v>58</v>
      </c>
      <c r="K2160" s="16">
        <v>9.17</v>
      </c>
      <c r="L2160" s="16">
        <v>14.63</v>
      </c>
      <c r="M2160" s="16">
        <v>16.13</v>
      </c>
    </row>
    <row r="2161" spans="1:13" ht="22.5" outlineLevel="3" x14ac:dyDescent="0.2">
      <c r="B2161" s="4" t="str">
        <f>"0002900100"</f>
        <v>0002900100</v>
      </c>
      <c r="C2161" s="5" t="str">
        <f>"383224"</f>
        <v>383224</v>
      </c>
      <c r="D2161" s="12" t="s">
        <v>373</v>
      </c>
      <c r="E2161" s="14" t="s">
        <v>375</v>
      </c>
      <c r="F2161" s="12" t="s">
        <v>73</v>
      </c>
      <c r="G2161" s="15">
        <v>100</v>
      </c>
      <c r="H2161" s="12" t="s">
        <v>371</v>
      </c>
      <c r="I2161" s="12" t="s">
        <v>374</v>
      </c>
      <c r="K2161" s="16">
        <v>9.17</v>
      </c>
      <c r="L2161" s="16">
        <v>14.63</v>
      </c>
      <c r="M2161" s="16">
        <v>16.13</v>
      </c>
    </row>
    <row r="2162" spans="1:13" outlineLevel="1" x14ac:dyDescent="0.2">
      <c r="A2162" s="3"/>
    </row>
    <row r="2163" spans="1:13" outlineLevel="2" x14ac:dyDescent="0.2">
      <c r="A2163" s="3" t="s">
        <v>1523</v>
      </c>
    </row>
    <row r="2164" spans="1:13" ht="33.75" outlineLevel="3" x14ac:dyDescent="0.2">
      <c r="B2164" s="4" t="str">
        <f>"0002920100"</f>
        <v>0002920100</v>
      </c>
      <c r="C2164" s="5" t="str">
        <f>"013615"</f>
        <v>013615</v>
      </c>
      <c r="D2164" s="12" t="s">
        <v>376</v>
      </c>
      <c r="E2164" s="14" t="s">
        <v>337</v>
      </c>
      <c r="F2164" s="12" t="s">
        <v>3</v>
      </c>
      <c r="G2164" s="15">
        <v>100</v>
      </c>
      <c r="H2164" s="12" t="s">
        <v>377</v>
      </c>
      <c r="I2164" s="12" t="s">
        <v>5</v>
      </c>
      <c r="K2164" s="16">
        <v>5.57</v>
      </c>
      <c r="L2164" s="16">
        <v>8.89</v>
      </c>
      <c r="M2164" s="16">
        <v>10.39</v>
      </c>
    </row>
    <row r="2165" spans="1:13" ht="33.75" outlineLevel="3" x14ac:dyDescent="0.2">
      <c r="B2165" s="4" t="str">
        <f>"0002920100"</f>
        <v>0002920100</v>
      </c>
      <c r="C2165" s="5" t="str">
        <f>"117655"</f>
        <v>117655</v>
      </c>
      <c r="D2165" s="12" t="s">
        <v>378</v>
      </c>
      <c r="E2165" s="14" t="s">
        <v>337</v>
      </c>
      <c r="F2165" s="12" t="s">
        <v>3</v>
      </c>
      <c r="G2165" s="15">
        <v>100</v>
      </c>
      <c r="H2165" s="12" t="s">
        <v>377</v>
      </c>
      <c r="I2165" s="12" t="s">
        <v>58</v>
      </c>
      <c r="K2165" s="16">
        <v>5.57</v>
      </c>
      <c r="L2165" s="16">
        <v>8.89</v>
      </c>
      <c r="M2165" s="16">
        <v>10.39</v>
      </c>
    </row>
    <row r="2166" spans="1:13" ht="33.75" outlineLevel="3" x14ac:dyDescent="0.2">
      <c r="B2166" s="4" t="str">
        <f>"0002920100"</f>
        <v>0002920100</v>
      </c>
      <c r="C2166" s="5" t="str">
        <f>"176073"</f>
        <v>176073</v>
      </c>
      <c r="D2166" s="12" t="s">
        <v>379</v>
      </c>
      <c r="E2166" s="14" t="s">
        <v>337</v>
      </c>
      <c r="F2166" s="12" t="s">
        <v>3</v>
      </c>
      <c r="G2166" s="15">
        <v>100</v>
      </c>
      <c r="H2166" s="12" t="s">
        <v>377</v>
      </c>
      <c r="I2166" s="12" t="s">
        <v>64</v>
      </c>
      <c r="K2166" s="16">
        <v>5.57</v>
      </c>
      <c r="L2166" s="16">
        <v>8.89</v>
      </c>
      <c r="M2166" s="16">
        <v>10.39</v>
      </c>
    </row>
    <row r="2167" spans="1:13" ht="33.75" outlineLevel="3" x14ac:dyDescent="0.2">
      <c r="B2167" s="4" t="str">
        <f>"0002920100"</f>
        <v>0002920100</v>
      </c>
      <c r="C2167" s="5" t="str">
        <f>"528992"</f>
        <v>528992</v>
      </c>
      <c r="D2167" s="12" t="s">
        <v>380</v>
      </c>
      <c r="E2167" s="14" t="s">
        <v>337</v>
      </c>
      <c r="F2167" s="12" t="s">
        <v>3</v>
      </c>
      <c r="G2167" s="15">
        <v>100</v>
      </c>
      <c r="H2167" s="12" t="s">
        <v>377</v>
      </c>
      <c r="I2167" s="12" t="s">
        <v>39</v>
      </c>
      <c r="K2167" s="16">
        <v>5.57</v>
      </c>
      <c r="L2167" s="16">
        <v>8.89</v>
      </c>
      <c r="M2167" s="16">
        <v>10.39</v>
      </c>
    </row>
    <row r="2168" spans="1:13" ht="33.75" outlineLevel="3" x14ac:dyDescent="0.2">
      <c r="B2168" s="4" t="str">
        <f>"0002920100"</f>
        <v>0002920100</v>
      </c>
      <c r="C2168" s="5" t="str">
        <f>"557181"</f>
        <v>557181</v>
      </c>
      <c r="D2168" s="12" t="s">
        <v>381</v>
      </c>
      <c r="E2168" s="14" t="s">
        <v>337</v>
      </c>
      <c r="F2168" s="12" t="s">
        <v>3</v>
      </c>
      <c r="G2168" s="15">
        <v>100</v>
      </c>
      <c r="H2168" s="12" t="s">
        <v>377</v>
      </c>
      <c r="I2168" s="12" t="s">
        <v>58</v>
      </c>
      <c r="K2168" s="16">
        <v>5.57</v>
      </c>
      <c r="L2168" s="16">
        <v>8.89</v>
      </c>
      <c r="M2168" s="16">
        <v>10.39</v>
      </c>
    </row>
    <row r="2169" spans="1:13" outlineLevel="2" x14ac:dyDescent="0.2"/>
    <row r="2170" spans="1:13" ht="33.75" outlineLevel="3" x14ac:dyDescent="0.2">
      <c r="B2170" s="4" t="str">
        <f>"0002930010"</f>
        <v>0002930010</v>
      </c>
      <c r="C2170" s="5" t="str">
        <f>"013706"</f>
        <v>013706</v>
      </c>
      <c r="D2170" s="12" t="s">
        <v>376</v>
      </c>
      <c r="E2170" s="14" t="s">
        <v>382</v>
      </c>
      <c r="F2170" s="12" t="s">
        <v>3</v>
      </c>
      <c r="G2170" s="15">
        <v>10</v>
      </c>
      <c r="H2170" s="12" t="s">
        <v>377</v>
      </c>
      <c r="I2170" s="12" t="s">
        <v>5</v>
      </c>
      <c r="K2170" s="16">
        <v>0.84</v>
      </c>
      <c r="L2170" s="16">
        <v>1.34</v>
      </c>
      <c r="M2170" s="16">
        <v>2.84</v>
      </c>
    </row>
    <row r="2171" spans="1:13" ht="33.75" outlineLevel="3" x14ac:dyDescent="0.2">
      <c r="B2171" s="4" t="str">
        <f>"0002930010"</f>
        <v>0002930010</v>
      </c>
      <c r="C2171" s="5" t="str">
        <f>"045070"</f>
        <v>045070</v>
      </c>
      <c r="D2171" s="12" t="s">
        <v>378</v>
      </c>
      <c r="E2171" s="14" t="s">
        <v>382</v>
      </c>
      <c r="F2171" s="12" t="s">
        <v>3</v>
      </c>
      <c r="G2171" s="15">
        <v>10</v>
      </c>
      <c r="H2171" s="12" t="s">
        <v>377</v>
      </c>
      <c r="I2171" s="12" t="s">
        <v>58</v>
      </c>
      <c r="K2171" s="16">
        <v>0.84</v>
      </c>
      <c r="L2171" s="16">
        <v>1.34</v>
      </c>
      <c r="M2171" s="16">
        <v>2.84</v>
      </c>
    </row>
    <row r="2172" spans="1:13" outlineLevel="2" x14ac:dyDescent="0.2"/>
    <row r="2173" spans="1:13" ht="33.75" outlineLevel="3" x14ac:dyDescent="0.2">
      <c r="B2173" s="4" t="str">
        <f>"0002930030"</f>
        <v>0002930030</v>
      </c>
      <c r="C2173" s="5" t="str">
        <f>"014365"</f>
        <v>014365</v>
      </c>
      <c r="D2173" s="12" t="s">
        <v>376</v>
      </c>
      <c r="E2173" s="14" t="s">
        <v>382</v>
      </c>
      <c r="F2173" s="12" t="s">
        <v>3</v>
      </c>
      <c r="G2173" s="15">
        <v>30</v>
      </c>
      <c r="H2173" s="12" t="s">
        <v>377</v>
      </c>
      <c r="I2173" s="12" t="s">
        <v>5</v>
      </c>
      <c r="K2173" s="16">
        <v>2.5099999999999998</v>
      </c>
      <c r="L2173" s="16">
        <v>4</v>
      </c>
      <c r="M2173" s="16">
        <v>5.49</v>
      </c>
    </row>
    <row r="2174" spans="1:13" ht="33.75" outlineLevel="3" x14ac:dyDescent="0.2">
      <c r="B2174" s="4" t="str">
        <f>"0002930030"</f>
        <v>0002930030</v>
      </c>
      <c r="C2174" s="5" t="str">
        <f>"005255"</f>
        <v>005255</v>
      </c>
      <c r="D2174" s="12" t="s">
        <v>379</v>
      </c>
      <c r="E2174" s="14" t="s">
        <v>382</v>
      </c>
      <c r="F2174" s="12" t="s">
        <v>3</v>
      </c>
      <c r="G2174" s="15">
        <v>30</v>
      </c>
      <c r="H2174" s="12" t="s">
        <v>377</v>
      </c>
      <c r="I2174" s="12" t="s">
        <v>64</v>
      </c>
      <c r="K2174" s="16">
        <v>2.5</v>
      </c>
      <c r="L2174" s="16">
        <v>3.99</v>
      </c>
      <c r="M2174" s="16">
        <v>5.49</v>
      </c>
    </row>
    <row r="2175" spans="1:13" ht="33.75" outlineLevel="3" x14ac:dyDescent="0.2">
      <c r="B2175" s="4" t="str">
        <f>"0002930030"</f>
        <v>0002930030</v>
      </c>
      <c r="C2175" s="5" t="str">
        <f>"552190"</f>
        <v>552190</v>
      </c>
      <c r="D2175" s="12" t="s">
        <v>378</v>
      </c>
      <c r="E2175" s="14" t="s">
        <v>382</v>
      </c>
      <c r="F2175" s="12" t="s">
        <v>3</v>
      </c>
      <c r="G2175" s="15">
        <v>30</v>
      </c>
      <c r="H2175" s="12" t="s">
        <v>377</v>
      </c>
      <c r="I2175" s="12" t="s">
        <v>58</v>
      </c>
      <c r="K2175" s="16">
        <v>2.5</v>
      </c>
      <c r="L2175" s="16">
        <v>3.99</v>
      </c>
      <c r="M2175" s="16">
        <v>5.49</v>
      </c>
    </row>
    <row r="2176" spans="1:13" outlineLevel="2" x14ac:dyDescent="0.2"/>
    <row r="2177" spans="1:13" ht="33.75" outlineLevel="3" x14ac:dyDescent="0.2">
      <c r="B2177" s="4" t="str">
        <f>"0002930100"</f>
        <v>0002930100</v>
      </c>
      <c r="C2177" s="5" t="str">
        <f>"005244"</f>
        <v>005244</v>
      </c>
      <c r="D2177" s="12" t="s">
        <v>379</v>
      </c>
      <c r="E2177" s="14" t="s">
        <v>382</v>
      </c>
      <c r="F2177" s="12" t="s">
        <v>3</v>
      </c>
      <c r="G2177" s="15">
        <v>100</v>
      </c>
      <c r="H2177" s="12" t="s">
        <v>377</v>
      </c>
      <c r="I2177" s="12" t="s">
        <v>64</v>
      </c>
      <c r="K2177" s="16">
        <v>7.51</v>
      </c>
      <c r="L2177" s="16">
        <v>11.98</v>
      </c>
      <c r="M2177" s="16">
        <v>13.48</v>
      </c>
    </row>
    <row r="2178" spans="1:13" ht="33.75" outlineLevel="3" x14ac:dyDescent="0.2">
      <c r="B2178" s="4" t="str">
        <f>"0002930100"</f>
        <v>0002930100</v>
      </c>
      <c r="C2178" s="5" t="str">
        <f>"014597"</f>
        <v>014597</v>
      </c>
      <c r="D2178" s="12" t="s">
        <v>376</v>
      </c>
      <c r="E2178" s="14" t="s">
        <v>382</v>
      </c>
      <c r="F2178" s="12" t="s">
        <v>3</v>
      </c>
      <c r="G2178" s="15">
        <v>100</v>
      </c>
      <c r="H2178" s="12" t="s">
        <v>377</v>
      </c>
      <c r="I2178" s="12" t="s">
        <v>5</v>
      </c>
      <c r="K2178" s="16">
        <v>7.51</v>
      </c>
      <c r="L2178" s="16">
        <v>11.98</v>
      </c>
      <c r="M2178" s="16">
        <v>13.48</v>
      </c>
    </row>
    <row r="2179" spans="1:13" ht="33.75" outlineLevel="3" x14ac:dyDescent="0.2">
      <c r="B2179" s="4" t="str">
        <f>"0002930100"</f>
        <v>0002930100</v>
      </c>
      <c r="C2179" s="5" t="str">
        <f>"529016"</f>
        <v>529016</v>
      </c>
      <c r="D2179" s="12" t="s">
        <v>380</v>
      </c>
      <c r="E2179" s="14" t="s">
        <v>382</v>
      </c>
      <c r="F2179" s="12" t="s">
        <v>3</v>
      </c>
      <c r="G2179" s="15">
        <v>100</v>
      </c>
      <c r="H2179" s="12" t="s">
        <v>377</v>
      </c>
      <c r="I2179" s="12" t="s">
        <v>39</v>
      </c>
      <c r="K2179" s="16">
        <v>7.51</v>
      </c>
      <c r="L2179" s="16">
        <v>11.98</v>
      </c>
      <c r="M2179" s="16">
        <v>13.48</v>
      </c>
    </row>
    <row r="2180" spans="1:13" ht="33.75" outlineLevel="3" x14ac:dyDescent="0.2">
      <c r="B2180" s="4" t="str">
        <f>"0002930100"</f>
        <v>0002930100</v>
      </c>
      <c r="C2180" s="5" t="str">
        <f>"552208"</f>
        <v>552208</v>
      </c>
      <c r="D2180" s="12" t="s">
        <v>378</v>
      </c>
      <c r="E2180" s="14" t="s">
        <v>382</v>
      </c>
      <c r="F2180" s="12" t="s">
        <v>3</v>
      </c>
      <c r="G2180" s="15">
        <v>100</v>
      </c>
      <c r="H2180" s="12" t="s">
        <v>377</v>
      </c>
      <c r="I2180" s="12" t="s">
        <v>58</v>
      </c>
      <c r="K2180" s="16">
        <v>7.51</v>
      </c>
      <c r="L2180" s="16">
        <v>11.98</v>
      </c>
      <c r="M2180" s="16">
        <v>13.48</v>
      </c>
    </row>
    <row r="2181" spans="1:13" outlineLevel="2" x14ac:dyDescent="0.2"/>
    <row r="2182" spans="1:13" ht="33.75" outlineLevel="3" x14ac:dyDescent="0.2">
      <c r="B2182" s="4" t="str">
        <f>"0002940030"</f>
        <v>0002940030</v>
      </c>
      <c r="C2182" s="5" t="str">
        <f>"063233"</f>
        <v>063233</v>
      </c>
      <c r="D2182" s="12" t="s">
        <v>379</v>
      </c>
      <c r="E2182" s="14" t="s">
        <v>338</v>
      </c>
      <c r="F2182" s="12" t="s">
        <v>3</v>
      </c>
      <c r="G2182" s="15">
        <v>30</v>
      </c>
      <c r="H2182" s="12" t="s">
        <v>377</v>
      </c>
      <c r="I2182" s="12" t="s">
        <v>64</v>
      </c>
      <c r="K2182" s="16">
        <v>3.34</v>
      </c>
      <c r="L2182" s="16">
        <v>5.32</v>
      </c>
      <c r="M2182" s="16">
        <v>6.82</v>
      </c>
    </row>
    <row r="2183" spans="1:13" ht="33.75" outlineLevel="3" x14ac:dyDescent="0.2">
      <c r="B2183" s="4" t="str">
        <f>"0002940030"</f>
        <v>0002940030</v>
      </c>
      <c r="C2183" s="5" t="str">
        <f>"163667"</f>
        <v>163667</v>
      </c>
      <c r="D2183" s="12" t="s">
        <v>376</v>
      </c>
      <c r="E2183" s="14" t="s">
        <v>338</v>
      </c>
      <c r="F2183" s="12" t="s">
        <v>3</v>
      </c>
      <c r="G2183" s="15">
        <v>30</v>
      </c>
      <c r="H2183" s="12" t="s">
        <v>377</v>
      </c>
      <c r="I2183" s="12" t="s">
        <v>5</v>
      </c>
      <c r="K2183" s="16">
        <v>3.34</v>
      </c>
      <c r="L2183" s="16">
        <v>5.32</v>
      </c>
      <c r="M2183" s="16">
        <v>6.82</v>
      </c>
    </row>
    <row r="2184" spans="1:13" ht="33.75" outlineLevel="3" x14ac:dyDescent="0.2">
      <c r="B2184" s="4" t="str">
        <f>"0002940030"</f>
        <v>0002940030</v>
      </c>
      <c r="C2184" s="5" t="str">
        <f>"434811"</f>
        <v>434811</v>
      </c>
      <c r="D2184" s="12" t="s">
        <v>378</v>
      </c>
      <c r="E2184" s="14" t="s">
        <v>338</v>
      </c>
      <c r="F2184" s="12" t="s">
        <v>3</v>
      </c>
      <c r="G2184" s="15">
        <v>30</v>
      </c>
      <c r="H2184" s="12" t="s">
        <v>377</v>
      </c>
      <c r="I2184" s="12" t="s">
        <v>58</v>
      </c>
      <c r="K2184" s="16">
        <v>3.34</v>
      </c>
      <c r="L2184" s="16">
        <v>5.32</v>
      </c>
      <c r="M2184" s="16">
        <v>6.82</v>
      </c>
    </row>
    <row r="2185" spans="1:13" outlineLevel="2" x14ac:dyDescent="0.2"/>
    <row r="2186" spans="1:13" ht="33.75" outlineLevel="3" x14ac:dyDescent="0.2">
      <c r="B2186" s="4" t="str">
        <f>"0002940100"</f>
        <v>0002940100</v>
      </c>
      <c r="C2186" s="5" t="str">
        <f>"001135"</f>
        <v>001135</v>
      </c>
      <c r="D2186" s="12" t="s">
        <v>381</v>
      </c>
      <c r="E2186" s="14" t="s">
        <v>338</v>
      </c>
      <c r="F2186" s="12" t="s">
        <v>3</v>
      </c>
      <c r="G2186" s="15">
        <v>100</v>
      </c>
      <c r="H2186" s="12" t="s">
        <v>377</v>
      </c>
      <c r="I2186" s="12" t="s">
        <v>58</v>
      </c>
      <c r="K2186" s="16">
        <v>10.02</v>
      </c>
      <c r="L2186" s="16">
        <v>15.9</v>
      </c>
      <c r="M2186" s="16">
        <v>17.399999999999999</v>
      </c>
    </row>
    <row r="2187" spans="1:13" ht="33.75" outlineLevel="3" x14ac:dyDescent="0.2">
      <c r="B2187" s="4" t="str">
        <f>"0002940100"</f>
        <v>0002940100</v>
      </c>
      <c r="C2187" s="5" t="str">
        <f>"063242"</f>
        <v>063242</v>
      </c>
      <c r="D2187" s="12" t="s">
        <v>379</v>
      </c>
      <c r="E2187" s="14" t="s">
        <v>338</v>
      </c>
      <c r="F2187" s="12" t="s">
        <v>3</v>
      </c>
      <c r="G2187" s="15">
        <v>100</v>
      </c>
      <c r="H2187" s="12" t="s">
        <v>377</v>
      </c>
      <c r="I2187" s="12" t="s">
        <v>64</v>
      </c>
      <c r="K2187" s="16">
        <v>10.02</v>
      </c>
      <c r="L2187" s="16">
        <v>15.9</v>
      </c>
      <c r="M2187" s="16">
        <v>17.399999999999999</v>
      </c>
    </row>
    <row r="2188" spans="1:13" ht="33.75" outlineLevel="3" x14ac:dyDescent="0.2">
      <c r="B2188" s="4" t="str">
        <f>"0002940100"</f>
        <v>0002940100</v>
      </c>
      <c r="C2188" s="5" t="str">
        <f>"163675"</f>
        <v>163675</v>
      </c>
      <c r="D2188" s="12" t="s">
        <v>376</v>
      </c>
      <c r="E2188" s="14" t="s">
        <v>338</v>
      </c>
      <c r="F2188" s="12" t="s">
        <v>3</v>
      </c>
      <c r="G2188" s="15">
        <v>100</v>
      </c>
      <c r="H2188" s="12" t="s">
        <v>377</v>
      </c>
      <c r="I2188" s="12" t="s">
        <v>5</v>
      </c>
      <c r="K2188" s="16">
        <v>10.02</v>
      </c>
      <c r="L2188" s="16">
        <v>15.9</v>
      </c>
      <c r="M2188" s="16">
        <v>17.399999999999999</v>
      </c>
    </row>
    <row r="2189" spans="1:13" ht="33.75" outlineLevel="3" x14ac:dyDescent="0.2">
      <c r="B2189" s="4" t="str">
        <f>"0002940100"</f>
        <v>0002940100</v>
      </c>
      <c r="C2189" s="5" t="str">
        <f>"434993"</f>
        <v>434993</v>
      </c>
      <c r="D2189" s="12" t="s">
        <v>378</v>
      </c>
      <c r="E2189" s="14" t="s">
        <v>338</v>
      </c>
      <c r="F2189" s="12" t="s">
        <v>3</v>
      </c>
      <c r="G2189" s="15">
        <v>100</v>
      </c>
      <c r="H2189" s="12" t="s">
        <v>377</v>
      </c>
      <c r="I2189" s="12" t="s">
        <v>58</v>
      </c>
      <c r="K2189" s="16">
        <v>10.02</v>
      </c>
      <c r="L2189" s="16">
        <v>15.9</v>
      </c>
      <c r="M2189" s="16">
        <v>17.399999999999999</v>
      </c>
    </row>
    <row r="2190" spans="1:13" outlineLevel="1" x14ac:dyDescent="0.2">
      <c r="A2190" s="3"/>
    </row>
    <row r="2191" spans="1:13" outlineLevel="2" x14ac:dyDescent="0.2">
      <c r="A2191" s="3" t="s">
        <v>1524</v>
      </c>
    </row>
    <row r="2192" spans="1:13" outlineLevel="3" x14ac:dyDescent="0.2">
      <c r="B2192" s="4" t="str">
        <f>"0002960100"</f>
        <v>0002960100</v>
      </c>
      <c r="C2192" s="5" t="str">
        <f>"049221"</f>
        <v>049221</v>
      </c>
      <c r="D2192" s="12" t="s">
        <v>383</v>
      </c>
      <c r="E2192" s="14" t="s">
        <v>295</v>
      </c>
      <c r="F2192" s="12" t="s">
        <v>73</v>
      </c>
      <c r="G2192" s="15">
        <v>100</v>
      </c>
      <c r="H2192" s="12" t="s">
        <v>384</v>
      </c>
      <c r="I2192" s="12" t="s">
        <v>58</v>
      </c>
      <c r="K2192" s="16">
        <v>7.17</v>
      </c>
      <c r="L2192" s="16">
        <v>11.44</v>
      </c>
      <c r="M2192" s="16">
        <v>12.94</v>
      </c>
    </row>
    <row r="2193" spans="1:13" outlineLevel="2" x14ac:dyDescent="0.2"/>
    <row r="2194" spans="1:13" outlineLevel="3" x14ac:dyDescent="0.2">
      <c r="B2194" s="4" t="str">
        <f>"0002970030"</f>
        <v>0002970030</v>
      </c>
      <c r="C2194" s="5" t="str">
        <f>"048876"</f>
        <v>048876</v>
      </c>
      <c r="D2194" s="12" t="s">
        <v>383</v>
      </c>
      <c r="E2194" s="14" t="s">
        <v>66</v>
      </c>
      <c r="F2194" s="12" t="s">
        <v>73</v>
      </c>
      <c r="G2194" s="15">
        <v>30</v>
      </c>
      <c r="H2194" s="12" t="s">
        <v>384</v>
      </c>
      <c r="I2194" s="12" t="s">
        <v>58</v>
      </c>
      <c r="K2194" s="16">
        <v>4.37</v>
      </c>
      <c r="L2194" s="16">
        <v>6.97</v>
      </c>
      <c r="M2194" s="16">
        <v>7.73</v>
      </c>
    </row>
    <row r="2195" spans="1:13" ht="33.75" outlineLevel="3" x14ac:dyDescent="0.2">
      <c r="B2195" s="4" t="str">
        <f>"0002970030"</f>
        <v>0002970030</v>
      </c>
      <c r="C2195" s="5" t="str">
        <f>"139758"</f>
        <v>139758</v>
      </c>
      <c r="D2195" s="12" t="s">
        <v>385</v>
      </c>
      <c r="E2195" s="14" t="s">
        <v>66</v>
      </c>
      <c r="F2195" s="12" t="s">
        <v>3</v>
      </c>
      <c r="G2195" s="15">
        <v>30</v>
      </c>
      <c r="H2195" s="12" t="s">
        <v>384</v>
      </c>
      <c r="I2195" s="12" t="s">
        <v>5</v>
      </c>
      <c r="K2195" s="16">
        <v>4.25</v>
      </c>
      <c r="L2195" s="16">
        <v>6.78</v>
      </c>
      <c r="M2195" s="16">
        <v>7.73</v>
      </c>
    </row>
    <row r="2196" spans="1:13" outlineLevel="3" x14ac:dyDescent="0.2">
      <c r="B2196" s="4" t="str">
        <f>"0002970030"</f>
        <v>0002970030</v>
      </c>
      <c r="C2196" s="5" t="str">
        <f>"474619"</f>
        <v>474619</v>
      </c>
      <c r="D2196" s="12" t="s">
        <v>386</v>
      </c>
      <c r="E2196" s="14" t="s">
        <v>66</v>
      </c>
      <c r="F2196" s="12" t="s">
        <v>73</v>
      </c>
      <c r="G2196" s="15">
        <v>30</v>
      </c>
      <c r="H2196" s="12" t="s">
        <v>384</v>
      </c>
      <c r="I2196" s="12" t="s">
        <v>11</v>
      </c>
      <c r="K2196" s="16">
        <v>3.9</v>
      </c>
      <c r="L2196" s="16">
        <v>6.23</v>
      </c>
      <c r="M2196" s="16">
        <v>7.73</v>
      </c>
    </row>
    <row r="2197" spans="1:13" outlineLevel="2" x14ac:dyDescent="0.2"/>
    <row r="2198" spans="1:13" outlineLevel="3" x14ac:dyDescent="0.2">
      <c r="B2198" s="4" t="str">
        <f>"0002970100"</f>
        <v>0002970100</v>
      </c>
      <c r="C2198" s="5" t="str">
        <f>"049031"</f>
        <v>049031</v>
      </c>
      <c r="D2198" s="12" t="s">
        <v>383</v>
      </c>
      <c r="E2198" s="14" t="s">
        <v>66</v>
      </c>
      <c r="F2198" s="12" t="s">
        <v>73</v>
      </c>
      <c r="G2198" s="15">
        <v>100</v>
      </c>
      <c r="H2198" s="12" t="s">
        <v>384</v>
      </c>
      <c r="I2198" s="12" t="s">
        <v>58</v>
      </c>
      <c r="K2198" s="16">
        <v>11.94</v>
      </c>
      <c r="L2198" s="16">
        <v>18.739999999999998</v>
      </c>
      <c r="M2198" s="16">
        <v>18.7</v>
      </c>
    </row>
    <row r="2199" spans="1:13" ht="33.75" outlineLevel="3" x14ac:dyDescent="0.2">
      <c r="B2199" s="4" t="str">
        <f>"0002970100"</f>
        <v>0002970100</v>
      </c>
      <c r="C2199" s="5" t="str">
        <f>"139766"</f>
        <v>139766</v>
      </c>
      <c r="D2199" s="12" t="s">
        <v>385</v>
      </c>
      <c r="E2199" s="14" t="s">
        <v>66</v>
      </c>
      <c r="F2199" s="12" t="s">
        <v>3</v>
      </c>
      <c r="G2199" s="15">
        <v>100</v>
      </c>
      <c r="H2199" s="12" t="s">
        <v>384</v>
      </c>
      <c r="I2199" s="12" t="s">
        <v>5</v>
      </c>
      <c r="K2199" s="16">
        <v>11.94</v>
      </c>
      <c r="L2199" s="16">
        <v>18.739999999999998</v>
      </c>
      <c r="M2199" s="16">
        <v>18.7</v>
      </c>
    </row>
    <row r="2200" spans="1:13" outlineLevel="3" x14ac:dyDescent="0.2">
      <c r="B2200" s="4" t="str">
        <f>"0002970100"</f>
        <v>0002970100</v>
      </c>
      <c r="C2200" s="5" t="str">
        <f>"474627"</f>
        <v>474627</v>
      </c>
      <c r="D2200" s="12" t="s">
        <v>386</v>
      </c>
      <c r="E2200" s="14" t="s">
        <v>66</v>
      </c>
      <c r="F2200" s="12" t="s">
        <v>73</v>
      </c>
      <c r="G2200" s="15">
        <v>100</v>
      </c>
      <c r="H2200" s="12" t="s">
        <v>384</v>
      </c>
      <c r="I2200" s="12" t="s">
        <v>11</v>
      </c>
      <c r="K2200" s="16">
        <v>10.9</v>
      </c>
      <c r="L2200" s="16">
        <v>17.2</v>
      </c>
      <c r="M2200" s="16">
        <v>18.7</v>
      </c>
    </row>
    <row r="2201" spans="1:13" outlineLevel="1" x14ac:dyDescent="0.2">
      <c r="A2201" s="3"/>
    </row>
    <row r="2202" spans="1:13" outlineLevel="2" x14ac:dyDescent="0.2">
      <c r="A2202" s="3" t="s">
        <v>1525</v>
      </c>
    </row>
    <row r="2203" spans="1:13" ht="33.75" outlineLevel="3" x14ac:dyDescent="0.2">
      <c r="B2203" s="4" t="str">
        <f>"0002980030"</f>
        <v>0002980030</v>
      </c>
      <c r="C2203" s="5" t="str">
        <f>"475129"</f>
        <v>475129</v>
      </c>
      <c r="D2203" s="12" t="s">
        <v>387</v>
      </c>
      <c r="E2203" s="14" t="s">
        <v>118</v>
      </c>
      <c r="F2203" s="12" t="s">
        <v>3</v>
      </c>
      <c r="G2203" s="15">
        <v>30</v>
      </c>
      <c r="H2203" s="12" t="s">
        <v>388</v>
      </c>
      <c r="I2203" s="12" t="s">
        <v>64</v>
      </c>
      <c r="K2203" s="16">
        <v>3.7</v>
      </c>
      <c r="L2203" s="16">
        <v>5.91</v>
      </c>
      <c r="M2203" s="16">
        <v>7.41</v>
      </c>
    </row>
    <row r="2204" spans="1:13" outlineLevel="3" x14ac:dyDescent="0.2">
      <c r="B2204" s="4" t="str">
        <f>"0002980030"</f>
        <v>0002980030</v>
      </c>
      <c r="C2204" s="5" t="str">
        <f>"528711"</f>
        <v>528711</v>
      </c>
      <c r="D2204" s="12" t="s">
        <v>389</v>
      </c>
      <c r="E2204" s="14" t="s">
        <v>118</v>
      </c>
      <c r="F2204" s="12" t="s">
        <v>216</v>
      </c>
      <c r="G2204" s="15">
        <v>30</v>
      </c>
      <c r="H2204" s="12" t="s">
        <v>388</v>
      </c>
      <c r="I2204" s="12" t="s">
        <v>187</v>
      </c>
      <c r="K2204" s="16">
        <v>3.7</v>
      </c>
      <c r="L2204" s="16">
        <v>5.91</v>
      </c>
      <c r="M2204" s="16">
        <v>7.41</v>
      </c>
    </row>
    <row r="2205" spans="1:13" ht="33.75" outlineLevel="3" x14ac:dyDescent="0.2">
      <c r="B2205" s="4" t="str">
        <f>"0002980030"</f>
        <v>0002980030</v>
      </c>
      <c r="C2205" s="5" t="str">
        <f>"557777"</f>
        <v>557777</v>
      </c>
      <c r="D2205" s="12" t="s">
        <v>390</v>
      </c>
      <c r="E2205" s="14" t="s">
        <v>118</v>
      </c>
      <c r="F2205" s="12" t="s">
        <v>3</v>
      </c>
      <c r="G2205" s="15">
        <v>30</v>
      </c>
      <c r="H2205" s="12" t="s">
        <v>388</v>
      </c>
      <c r="I2205" s="12" t="s">
        <v>5</v>
      </c>
      <c r="K2205" s="16">
        <v>3.7</v>
      </c>
      <c r="L2205" s="16">
        <v>5.91</v>
      </c>
      <c r="M2205" s="16">
        <v>7.41</v>
      </c>
    </row>
    <row r="2206" spans="1:13" outlineLevel="2" x14ac:dyDescent="0.2"/>
    <row r="2207" spans="1:13" outlineLevel="3" x14ac:dyDescent="0.2">
      <c r="B2207" s="4" t="str">
        <f>"0002980100"</f>
        <v>0002980100</v>
      </c>
      <c r="C2207" s="5" t="str">
        <f>"018476"</f>
        <v>018476</v>
      </c>
      <c r="D2207" s="12" t="s">
        <v>389</v>
      </c>
      <c r="E2207" s="14" t="s">
        <v>118</v>
      </c>
      <c r="F2207" s="12" t="s">
        <v>216</v>
      </c>
      <c r="G2207" s="15">
        <v>100</v>
      </c>
      <c r="H2207" s="12" t="s">
        <v>388</v>
      </c>
      <c r="I2207" s="12" t="s">
        <v>187</v>
      </c>
      <c r="K2207" s="16">
        <v>10.71</v>
      </c>
      <c r="L2207" s="16">
        <v>16.920000000000002</v>
      </c>
      <c r="M2207" s="16">
        <v>16.920000000000002</v>
      </c>
    </row>
    <row r="2208" spans="1:13" ht="33.75" outlineLevel="3" x14ac:dyDescent="0.2">
      <c r="B2208" s="4" t="str">
        <f>"0002980100"</f>
        <v>0002980100</v>
      </c>
      <c r="C2208" s="5" t="str">
        <f>"483040"</f>
        <v>483040</v>
      </c>
      <c r="D2208" s="12" t="s">
        <v>390</v>
      </c>
      <c r="E2208" s="14" t="s">
        <v>118</v>
      </c>
      <c r="F2208" s="12" t="s">
        <v>3</v>
      </c>
      <c r="G2208" s="15">
        <v>100</v>
      </c>
      <c r="H2208" s="12" t="s">
        <v>388</v>
      </c>
      <c r="I2208" s="12" t="s">
        <v>5</v>
      </c>
      <c r="K2208" s="16">
        <v>10.71</v>
      </c>
      <c r="L2208" s="16">
        <v>16.920000000000002</v>
      </c>
      <c r="M2208" s="16">
        <v>16.920000000000002</v>
      </c>
    </row>
    <row r="2209" spans="1:13" ht="33.75" outlineLevel="3" x14ac:dyDescent="0.2">
      <c r="B2209" s="4" t="str">
        <f>"0002980100"</f>
        <v>0002980100</v>
      </c>
      <c r="C2209" s="5" t="str">
        <f>"395020"</f>
        <v>395020</v>
      </c>
      <c r="D2209" s="12" t="s">
        <v>387</v>
      </c>
      <c r="E2209" s="14" t="s">
        <v>118</v>
      </c>
      <c r="F2209" s="12" t="s">
        <v>3</v>
      </c>
      <c r="G2209" s="15">
        <v>100</v>
      </c>
      <c r="H2209" s="12" t="s">
        <v>388</v>
      </c>
      <c r="I2209" s="12" t="s">
        <v>64</v>
      </c>
      <c r="K2209" s="16">
        <v>9.6999999999999993</v>
      </c>
      <c r="L2209" s="16">
        <v>15.42</v>
      </c>
      <c r="M2209" s="16">
        <v>16.920000000000002</v>
      </c>
    </row>
    <row r="2210" spans="1:13" outlineLevel="2" x14ac:dyDescent="0.2"/>
    <row r="2211" spans="1:13" ht="33.75" outlineLevel="3" x14ac:dyDescent="0.2">
      <c r="B2211" s="4" t="str">
        <f>"0005150030"</f>
        <v>0005150030</v>
      </c>
      <c r="C2211" s="5" t="str">
        <f>"475111"</f>
        <v>475111</v>
      </c>
      <c r="D2211" s="12" t="s">
        <v>387</v>
      </c>
      <c r="E2211" s="14" t="s">
        <v>106</v>
      </c>
      <c r="F2211" s="12" t="s">
        <v>3</v>
      </c>
      <c r="G2211" s="15">
        <v>30</v>
      </c>
      <c r="H2211" s="12" t="s">
        <v>388</v>
      </c>
      <c r="I2211" s="12" t="s">
        <v>64</v>
      </c>
      <c r="K2211" s="16">
        <v>2.0299999999999998</v>
      </c>
      <c r="L2211" s="16">
        <v>3.23</v>
      </c>
      <c r="M2211" s="16">
        <v>4.7300000000000004</v>
      </c>
    </row>
    <row r="2212" spans="1:13" outlineLevel="2" x14ac:dyDescent="0.2"/>
    <row r="2213" spans="1:13" ht="33.75" outlineLevel="3" x14ac:dyDescent="0.2">
      <c r="B2213" s="4" t="str">
        <f>"0005150100"</f>
        <v>0005150100</v>
      </c>
      <c r="C2213" s="5" t="str">
        <f>"395053"</f>
        <v>395053</v>
      </c>
      <c r="D2213" s="12" t="s">
        <v>387</v>
      </c>
      <c r="E2213" s="14" t="s">
        <v>106</v>
      </c>
      <c r="F2213" s="12" t="s">
        <v>3</v>
      </c>
      <c r="G2213" s="15">
        <v>100</v>
      </c>
      <c r="H2213" s="12" t="s">
        <v>388</v>
      </c>
      <c r="I2213" s="12" t="s">
        <v>64</v>
      </c>
      <c r="K2213" s="16">
        <v>6.1</v>
      </c>
      <c r="L2213" s="16">
        <v>9.74</v>
      </c>
      <c r="M2213" s="16">
        <v>11.24</v>
      </c>
    </row>
    <row r="2214" spans="1:13" outlineLevel="1" x14ac:dyDescent="0.2">
      <c r="A2214" s="3"/>
    </row>
    <row r="2215" spans="1:13" outlineLevel="2" x14ac:dyDescent="0.2">
      <c r="A2215" s="3" t="s">
        <v>1526</v>
      </c>
    </row>
    <row r="2216" spans="1:13" ht="22.5" outlineLevel="3" x14ac:dyDescent="0.2">
      <c r="B2216" s="4" t="str">
        <f t="shared" ref="B2216:B2221" si="72">"0013390030"</f>
        <v>0013390030</v>
      </c>
      <c r="C2216" s="5" t="str">
        <f>"580684"</f>
        <v>580684</v>
      </c>
      <c r="D2216" s="12" t="s">
        <v>1257</v>
      </c>
      <c r="E2216" s="14" t="s">
        <v>118</v>
      </c>
      <c r="F2216" s="12" t="s">
        <v>216</v>
      </c>
      <c r="G2216" s="15">
        <v>30</v>
      </c>
      <c r="H2216" s="12" t="s">
        <v>1258</v>
      </c>
      <c r="I2216" s="12" t="s">
        <v>148</v>
      </c>
      <c r="J2216" s="2" t="s">
        <v>1400</v>
      </c>
      <c r="K2216" s="16" t="s">
        <v>1401</v>
      </c>
      <c r="L2216" s="16" t="s">
        <v>1401</v>
      </c>
      <c r="M2216" s="16">
        <v>11.15</v>
      </c>
    </row>
    <row r="2217" spans="1:13" outlineLevel="3" x14ac:dyDescent="0.2">
      <c r="B2217" s="4" t="str">
        <f t="shared" si="72"/>
        <v>0013390030</v>
      </c>
      <c r="C2217" s="5" t="str">
        <f>"001120"</f>
        <v>001120</v>
      </c>
      <c r="D2217" s="12" t="s">
        <v>1259</v>
      </c>
      <c r="E2217" s="14" t="s">
        <v>118</v>
      </c>
      <c r="F2217" s="12" t="s">
        <v>216</v>
      </c>
      <c r="G2217" s="15">
        <v>30</v>
      </c>
      <c r="H2217" s="12" t="s">
        <v>1258</v>
      </c>
      <c r="I2217" s="12" t="s">
        <v>240</v>
      </c>
      <c r="K2217" s="16">
        <v>7.67</v>
      </c>
      <c r="L2217" s="16">
        <v>12.23</v>
      </c>
      <c r="M2217" s="16">
        <v>11.15</v>
      </c>
    </row>
    <row r="2218" spans="1:13" outlineLevel="3" x14ac:dyDescent="0.2">
      <c r="B2218" s="4" t="str">
        <f t="shared" si="72"/>
        <v>0013390030</v>
      </c>
      <c r="C2218" s="5" t="str">
        <f>"119985"</f>
        <v>119985</v>
      </c>
      <c r="D2218" s="12" t="s">
        <v>1260</v>
      </c>
      <c r="E2218" s="14" t="s">
        <v>118</v>
      </c>
      <c r="F2218" s="12" t="s">
        <v>216</v>
      </c>
      <c r="G2218" s="15">
        <v>30</v>
      </c>
      <c r="H2218" s="12" t="s">
        <v>1258</v>
      </c>
      <c r="I2218" s="12" t="s">
        <v>70</v>
      </c>
      <c r="K2218" s="16">
        <v>6.09</v>
      </c>
      <c r="L2218" s="16">
        <v>9.7100000000000009</v>
      </c>
      <c r="M2218" s="16">
        <v>11.15</v>
      </c>
    </row>
    <row r="2219" spans="1:13" outlineLevel="3" x14ac:dyDescent="0.2">
      <c r="B2219" s="4" t="str">
        <f t="shared" si="72"/>
        <v>0013390030</v>
      </c>
      <c r="C2219" s="5" t="str">
        <f>"421006"</f>
        <v>421006</v>
      </c>
      <c r="D2219" s="12" t="s">
        <v>1262</v>
      </c>
      <c r="E2219" s="14" t="s">
        <v>118</v>
      </c>
      <c r="F2219" s="12" t="s">
        <v>216</v>
      </c>
      <c r="G2219" s="15">
        <v>30</v>
      </c>
      <c r="H2219" s="12" t="s">
        <v>1258</v>
      </c>
      <c r="I2219" s="12" t="s">
        <v>30</v>
      </c>
      <c r="K2219" s="16">
        <v>6.09</v>
      </c>
      <c r="L2219" s="16">
        <v>9.7100000000000009</v>
      </c>
      <c r="M2219" s="16">
        <v>11.15</v>
      </c>
    </row>
    <row r="2220" spans="1:13" outlineLevel="3" x14ac:dyDescent="0.2">
      <c r="B2220" s="4" t="str">
        <f t="shared" si="72"/>
        <v>0013390030</v>
      </c>
      <c r="C2220" s="5" t="str">
        <f>"591781"</f>
        <v>591781</v>
      </c>
      <c r="D2220" s="12" t="s">
        <v>1263</v>
      </c>
      <c r="E2220" s="14" t="s">
        <v>118</v>
      </c>
      <c r="F2220" s="12" t="s">
        <v>216</v>
      </c>
      <c r="G2220" s="15">
        <v>30</v>
      </c>
      <c r="H2220" s="12" t="s">
        <v>1258</v>
      </c>
      <c r="I2220" s="12" t="s">
        <v>240</v>
      </c>
      <c r="K2220" s="16">
        <v>6.09</v>
      </c>
      <c r="L2220" s="16">
        <v>9.7100000000000009</v>
      </c>
      <c r="M2220" s="16">
        <v>11.15</v>
      </c>
    </row>
    <row r="2221" spans="1:13" ht="22.5" outlineLevel="3" x14ac:dyDescent="0.2">
      <c r="B2221" s="4" t="str">
        <f t="shared" si="72"/>
        <v>0013390030</v>
      </c>
      <c r="C2221" s="5" t="str">
        <f>"395840"</f>
        <v>395840</v>
      </c>
      <c r="D2221" s="12" t="s">
        <v>1261</v>
      </c>
      <c r="E2221" s="14" t="s">
        <v>118</v>
      </c>
      <c r="F2221" s="12" t="s">
        <v>216</v>
      </c>
      <c r="G2221" s="15">
        <v>30</v>
      </c>
      <c r="H2221" s="12" t="s">
        <v>1258</v>
      </c>
      <c r="I2221" s="12" t="s">
        <v>60</v>
      </c>
      <c r="K2221" s="16">
        <v>6.05</v>
      </c>
      <c r="L2221" s="16">
        <v>9.65</v>
      </c>
      <c r="M2221" s="16">
        <v>11.15</v>
      </c>
    </row>
    <row r="2222" spans="1:13" outlineLevel="2" x14ac:dyDescent="0.2"/>
    <row r="2223" spans="1:13" ht="22.5" outlineLevel="3" x14ac:dyDescent="0.2">
      <c r="B2223" s="4" t="str">
        <f t="shared" ref="B2223:B2228" si="73">"0013390100"</f>
        <v>0013390100</v>
      </c>
      <c r="C2223" s="5" t="str">
        <f>"421452"</f>
        <v>421452</v>
      </c>
      <c r="D2223" s="12" t="s">
        <v>1257</v>
      </c>
      <c r="E2223" s="14" t="s">
        <v>118</v>
      </c>
      <c r="F2223" s="12" t="s">
        <v>216</v>
      </c>
      <c r="G2223" s="15">
        <v>100</v>
      </c>
      <c r="H2223" s="12" t="s">
        <v>1258</v>
      </c>
      <c r="I2223" s="12" t="s">
        <v>148</v>
      </c>
      <c r="J2223" s="2" t="s">
        <v>1400</v>
      </c>
      <c r="K2223" s="16" t="s">
        <v>1401</v>
      </c>
      <c r="L2223" s="16" t="s">
        <v>1401</v>
      </c>
      <c r="M2223" s="16">
        <v>21</v>
      </c>
    </row>
    <row r="2224" spans="1:13" outlineLevel="3" x14ac:dyDescent="0.2">
      <c r="B2224" s="4" t="str">
        <f t="shared" si="73"/>
        <v>0013390100</v>
      </c>
      <c r="C2224" s="5" t="str">
        <f>"390971"</f>
        <v>390971</v>
      </c>
      <c r="D2224" s="12" t="s">
        <v>1259</v>
      </c>
      <c r="E2224" s="14" t="s">
        <v>118</v>
      </c>
      <c r="F2224" s="12" t="s">
        <v>216</v>
      </c>
      <c r="G2224" s="15">
        <v>100</v>
      </c>
      <c r="H2224" s="12" t="s">
        <v>1258</v>
      </c>
      <c r="I2224" s="12" t="s">
        <v>240</v>
      </c>
      <c r="K2224" s="16">
        <v>23.91</v>
      </c>
      <c r="L2224" s="16">
        <v>36.520000000000003</v>
      </c>
      <c r="M2224" s="16">
        <v>21</v>
      </c>
    </row>
    <row r="2225" spans="2:13" outlineLevel="3" x14ac:dyDescent="0.2">
      <c r="B2225" s="4" t="str">
        <f t="shared" si="73"/>
        <v>0013390100</v>
      </c>
      <c r="C2225" s="5" t="str">
        <f>"141441"</f>
        <v>141441</v>
      </c>
      <c r="D2225" s="12" t="s">
        <v>1262</v>
      </c>
      <c r="E2225" s="14" t="s">
        <v>118</v>
      </c>
      <c r="F2225" s="12" t="s">
        <v>216</v>
      </c>
      <c r="G2225" s="15">
        <v>100</v>
      </c>
      <c r="H2225" s="12" t="s">
        <v>1258</v>
      </c>
      <c r="I2225" s="12" t="s">
        <v>30</v>
      </c>
      <c r="K2225" s="16">
        <v>12.52</v>
      </c>
      <c r="L2225" s="16">
        <v>19.600000000000001</v>
      </c>
      <c r="M2225" s="16">
        <v>21</v>
      </c>
    </row>
    <row r="2226" spans="2:13" outlineLevel="3" x14ac:dyDescent="0.2">
      <c r="B2226" s="4" t="str">
        <f t="shared" si="73"/>
        <v>0013390100</v>
      </c>
      <c r="C2226" s="5" t="str">
        <f>"426274"</f>
        <v>426274</v>
      </c>
      <c r="D2226" s="12" t="s">
        <v>1263</v>
      </c>
      <c r="E2226" s="14" t="s">
        <v>118</v>
      </c>
      <c r="F2226" s="12" t="s">
        <v>216</v>
      </c>
      <c r="G2226" s="15">
        <v>100</v>
      </c>
      <c r="H2226" s="12" t="s">
        <v>1258</v>
      </c>
      <c r="I2226" s="12" t="s">
        <v>240</v>
      </c>
      <c r="K2226" s="16">
        <v>12.52</v>
      </c>
      <c r="L2226" s="16">
        <v>19.600000000000001</v>
      </c>
      <c r="M2226" s="16">
        <v>21</v>
      </c>
    </row>
    <row r="2227" spans="2:13" outlineLevel="3" x14ac:dyDescent="0.2">
      <c r="B2227" s="4" t="str">
        <f t="shared" si="73"/>
        <v>0013390100</v>
      </c>
      <c r="C2227" s="5" t="str">
        <f>"501380"</f>
        <v>501380</v>
      </c>
      <c r="D2227" s="12" t="s">
        <v>1260</v>
      </c>
      <c r="E2227" s="14" t="s">
        <v>118</v>
      </c>
      <c r="F2227" s="12" t="s">
        <v>216</v>
      </c>
      <c r="G2227" s="15">
        <v>100</v>
      </c>
      <c r="H2227" s="12" t="s">
        <v>1258</v>
      </c>
      <c r="I2227" s="12" t="s">
        <v>70</v>
      </c>
      <c r="K2227" s="16">
        <v>12.51</v>
      </c>
      <c r="L2227" s="16">
        <v>19.59</v>
      </c>
      <c r="M2227" s="16">
        <v>21</v>
      </c>
    </row>
    <row r="2228" spans="2:13" ht="22.5" outlineLevel="3" x14ac:dyDescent="0.2">
      <c r="B2228" s="4" t="str">
        <f t="shared" si="73"/>
        <v>0013390100</v>
      </c>
      <c r="C2228" s="5" t="str">
        <f>"427644"</f>
        <v>427644</v>
      </c>
      <c r="D2228" s="12" t="s">
        <v>1261</v>
      </c>
      <c r="E2228" s="14" t="s">
        <v>118</v>
      </c>
      <c r="F2228" s="12" t="s">
        <v>216</v>
      </c>
      <c r="G2228" s="15">
        <v>100</v>
      </c>
      <c r="H2228" s="12" t="s">
        <v>1258</v>
      </c>
      <c r="I2228" s="12" t="s">
        <v>60</v>
      </c>
      <c r="K2228" s="16">
        <v>12.45</v>
      </c>
      <c r="L2228" s="16">
        <v>19.5</v>
      </c>
      <c r="M2228" s="16">
        <v>21</v>
      </c>
    </row>
    <row r="2229" spans="2:13" outlineLevel="2" x14ac:dyDescent="0.2"/>
    <row r="2230" spans="2:13" outlineLevel="3" x14ac:dyDescent="0.2">
      <c r="B2230" s="4" t="str">
        <f>"0013400010"</f>
        <v>0013400010</v>
      </c>
      <c r="C2230" s="5" t="str">
        <f>"001194"</f>
        <v>001194</v>
      </c>
      <c r="D2230" s="12" t="s">
        <v>1259</v>
      </c>
      <c r="E2230" s="14" t="s">
        <v>142</v>
      </c>
      <c r="F2230" s="12" t="s">
        <v>216</v>
      </c>
      <c r="G2230" s="15">
        <v>10</v>
      </c>
      <c r="H2230" s="12" t="s">
        <v>1258</v>
      </c>
      <c r="I2230" s="12" t="s">
        <v>240</v>
      </c>
      <c r="K2230" s="16">
        <v>4.6500000000000004</v>
      </c>
      <c r="L2230" s="16">
        <v>7.41</v>
      </c>
      <c r="M2230" s="16">
        <v>8.91</v>
      </c>
    </row>
    <row r="2231" spans="2:13" outlineLevel="3" x14ac:dyDescent="0.2">
      <c r="B2231" s="4" t="str">
        <f>"0013400010"</f>
        <v>0013400010</v>
      </c>
      <c r="C2231" s="5" t="str">
        <f>"128816"</f>
        <v>128816</v>
      </c>
      <c r="D2231" s="12" t="s">
        <v>1260</v>
      </c>
      <c r="E2231" s="14" t="s">
        <v>142</v>
      </c>
      <c r="F2231" s="12" t="s">
        <v>216</v>
      </c>
      <c r="G2231" s="15">
        <v>10</v>
      </c>
      <c r="H2231" s="12" t="s">
        <v>1258</v>
      </c>
      <c r="I2231" s="12" t="s">
        <v>70</v>
      </c>
      <c r="K2231" s="16">
        <v>4.6500000000000004</v>
      </c>
      <c r="L2231" s="16">
        <v>7.41</v>
      </c>
      <c r="M2231" s="16">
        <v>8.91</v>
      </c>
    </row>
    <row r="2232" spans="2:13" outlineLevel="3" x14ac:dyDescent="0.2">
      <c r="B2232" s="4" t="str">
        <f>"0013400010"</f>
        <v>0013400010</v>
      </c>
      <c r="C2232" s="5" t="str">
        <f>"576766"</f>
        <v>576766</v>
      </c>
      <c r="D2232" s="12" t="s">
        <v>1262</v>
      </c>
      <c r="E2232" s="14" t="s">
        <v>142</v>
      </c>
      <c r="F2232" s="12" t="s">
        <v>216</v>
      </c>
      <c r="G2232" s="15">
        <v>10</v>
      </c>
      <c r="H2232" s="12" t="s">
        <v>1258</v>
      </c>
      <c r="I2232" s="12" t="s">
        <v>30</v>
      </c>
      <c r="K2232" s="16">
        <v>4.6500000000000004</v>
      </c>
      <c r="L2232" s="16">
        <v>7.41</v>
      </c>
      <c r="M2232" s="16">
        <v>8.91</v>
      </c>
    </row>
    <row r="2233" spans="2:13" outlineLevel="2" x14ac:dyDescent="0.2"/>
    <row r="2234" spans="2:13" ht="22.5" outlineLevel="3" x14ac:dyDescent="0.2">
      <c r="B2234" s="4" t="str">
        <f t="shared" ref="B2234:B2239" si="74">"0013400030"</f>
        <v>0013400030</v>
      </c>
      <c r="C2234" s="5" t="str">
        <f>"528774"</f>
        <v>528774</v>
      </c>
      <c r="D2234" s="12" t="s">
        <v>1257</v>
      </c>
      <c r="E2234" s="14" t="s">
        <v>142</v>
      </c>
      <c r="F2234" s="12" t="s">
        <v>216</v>
      </c>
      <c r="G2234" s="15">
        <v>30</v>
      </c>
      <c r="H2234" s="12" t="s">
        <v>1258</v>
      </c>
      <c r="I2234" s="12" t="s">
        <v>148</v>
      </c>
      <c r="J2234" s="2" t="s">
        <v>1400</v>
      </c>
      <c r="K2234" s="16" t="s">
        <v>1401</v>
      </c>
      <c r="L2234" s="16" t="s">
        <v>1401</v>
      </c>
      <c r="M2234" s="16">
        <v>14.34</v>
      </c>
    </row>
    <row r="2235" spans="2:13" outlineLevel="3" x14ac:dyDescent="0.2">
      <c r="B2235" s="4" t="str">
        <f t="shared" si="74"/>
        <v>0013400030</v>
      </c>
      <c r="C2235" s="5" t="str">
        <f>"001205"</f>
        <v>001205</v>
      </c>
      <c r="D2235" s="12" t="s">
        <v>1259</v>
      </c>
      <c r="E2235" s="14" t="s">
        <v>142</v>
      </c>
      <c r="F2235" s="12" t="s">
        <v>216</v>
      </c>
      <c r="G2235" s="15">
        <v>30</v>
      </c>
      <c r="H2235" s="12" t="s">
        <v>1258</v>
      </c>
      <c r="I2235" s="12" t="s">
        <v>240</v>
      </c>
      <c r="K2235" s="16">
        <v>13.96</v>
      </c>
      <c r="L2235" s="16">
        <v>21.75</v>
      </c>
      <c r="M2235" s="16">
        <v>14.34</v>
      </c>
    </row>
    <row r="2236" spans="2:13" outlineLevel="3" x14ac:dyDescent="0.2">
      <c r="B2236" s="4" t="str">
        <f t="shared" si="74"/>
        <v>0013400030</v>
      </c>
      <c r="C2236" s="5" t="str">
        <f>"067046"</f>
        <v>067046</v>
      </c>
      <c r="D2236" s="12" t="s">
        <v>1262</v>
      </c>
      <c r="E2236" s="14" t="s">
        <v>142</v>
      </c>
      <c r="F2236" s="12" t="s">
        <v>216</v>
      </c>
      <c r="G2236" s="15">
        <v>30</v>
      </c>
      <c r="H2236" s="12" t="s">
        <v>1258</v>
      </c>
      <c r="I2236" s="12" t="s">
        <v>30</v>
      </c>
      <c r="K2236" s="16">
        <v>8.09</v>
      </c>
      <c r="L2236" s="16">
        <v>12.9</v>
      </c>
      <c r="M2236" s="16">
        <v>14.34</v>
      </c>
    </row>
    <row r="2237" spans="2:13" outlineLevel="3" x14ac:dyDescent="0.2">
      <c r="B2237" s="4" t="str">
        <f t="shared" si="74"/>
        <v>0013400030</v>
      </c>
      <c r="C2237" s="5" t="str">
        <f>"137416"</f>
        <v>137416</v>
      </c>
      <c r="D2237" s="12" t="s">
        <v>1263</v>
      </c>
      <c r="E2237" s="14" t="s">
        <v>142</v>
      </c>
      <c r="F2237" s="12" t="s">
        <v>216</v>
      </c>
      <c r="G2237" s="15">
        <v>30</v>
      </c>
      <c r="H2237" s="12" t="s">
        <v>1258</v>
      </c>
      <c r="I2237" s="12" t="s">
        <v>240</v>
      </c>
      <c r="K2237" s="16">
        <v>8.09</v>
      </c>
      <c r="L2237" s="16">
        <v>12.9</v>
      </c>
      <c r="M2237" s="16">
        <v>14.34</v>
      </c>
    </row>
    <row r="2238" spans="2:13" outlineLevel="3" x14ac:dyDescent="0.2">
      <c r="B2238" s="4" t="str">
        <f t="shared" si="74"/>
        <v>0013400030</v>
      </c>
      <c r="C2238" s="5" t="str">
        <f>"531958"</f>
        <v>531958</v>
      </c>
      <c r="D2238" s="12" t="s">
        <v>1260</v>
      </c>
      <c r="E2238" s="14" t="s">
        <v>142</v>
      </c>
      <c r="F2238" s="12" t="s">
        <v>216</v>
      </c>
      <c r="G2238" s="15">
        <v>30</v>
      </c>
      <c r="H2238" s="12" t="s">
        <v>1258</v>
      </c>
      <c r="I2238" s="12" t="s">
        <v>70</v>
      </c>
      <c r="K2238" s="16">
        <v>8.09</v>
      </c>
      <c r="L2238" s="16">
        <v>12.9</v>
      </c>
      <c r="M2238" s="16">
        <v>14.34</v>
      </c>
    </row>
    <row r="2239" spans="2:13" ht="22.5" outlineLevel="3" x14ac:dyDescent="0.2">
      <c r="B2239" s="4" t="str">
        <f t="shared" si="74"/>
        <v>0013400030</v>
      </c>
      <c r="C2239" s="5" t="str">
        <f>"375830"</f>
        <v>375830</v>
      </c>
      <c r="D2239" s="12" t="s">
        <v>1261</v>
      </c>
      <c r="E2239" s="14" t="s">
        <v>142</v>
      </c>
      <c r="F2239" s="12" t="s">
        <v>216</v>
      </c>
      <c r="G2239" s="15">
        <v>30</v>
      </c>
      <c r="H2239" s="12" t="s">
        <v>1258</v>
      </c>
      <c r="I2239" s="12" t="s">
        <v>60</v>
      </c>
      <c r="K2239" s="16">
        <v>8.0500000000000007</v>
      </c>
      <c r="L2239" s="16">
        <v>12.84</v>
      </c>
      <c r="M2239" s="16">
        <v>14.34</v>
      </c>
    </row>
    <row r="2240" spans="2:13" outlineLevel="2" x14ac:dyDescent="0.2"/>
    <row r="2241" spans="1:13" ht="22.5" outlineLevel="3" x14ac:dyDescent="0.2">
      <c r="B2241" s="4" t="str">
        <f t="shared" ref="B2241:B2246" si="75">"0013400100"</f>
        <v>0013400100</v>
      </c>
      <c r="C2241" s="5" t="str">
        <f>"541289"</f>
        <v>541289</v>
      </c>
      <c r="D2241" s="12" t="s">
        <v>1257</v>
      </c>
      <c r="E2241" s="14" t="s">
        <v>142</v>
      </c>
      <c r="F2241" s="12" t="s">
        <v>216</v>
      </c>
      <c r="G2241" s="15">
        <v>100</v>
      </c>
      <c r="H2241" s="12" t="s">
        <v>1258</v>
      </c>
      <c r="I2241" s="12" t="s">
        <v>148</v>
      </c>
      <c r="J2241" s="2" t="s">
        <v>1400</v>
      </c>
      <c r="K2241" s="16" t="s">
        <v>1401</v>
      </c>
      <c r="L2241" s="16" t="s">
        <v>1401</v>
      </c>
      <c r="M2241" s="16">
        <v>24.79</v>
      </c>
    </row>
    <row r="2242" spans="1:13" outlineLevel="3" x14ac:dyDescent="0.2">
      <c r="B2242" s="4" t="str">
        <f t="shared" si="75"/>
        <v>0013400100</v>
      </c>
      <c r="C2242" s="5" t="str">
        <f>"391268"</f>
        <v>391268</v>
      </c>
      <c r="D2242" s="12" t="s">
        <v>1259</v>
      </c>
      <c r="E2242" s="14" t="s">
        <v>142</v>
      </c>
      <c r="F2242" s="12" t="s">
        <v>216</v>
      </c>
      <c r="G2242" s="15">
        <v>100</v>
      </c>
      <c r="H2242" s="12" t="s">
        <v>1258</v>
      </c>
      <c r="I2242" s="12" t="s">
        <v>240</v>
      </c>
      <c r="K2242" s="16">
        <v>43.89</v>
      </c>
      <c r="L2242" s="16">
        <v>66.19</v>
      </c>
      <c r="M2242" s="16">
        <v>24.79</v>
      </c>
    </row>
    <row r="2243" spans="1:13" outlineLevel="3" x14ac:dyDescent="0.2">
      <c r="B2243" s="4" t="str">
        <f t="shared" si="75"/>
        <v>0013400100</v>
      </c>
      <c r="C2243" s="5" t="str">
        <f>"163764"</f>
        <v>163764</v>
      </c>
      <c r="D2243" s="12" t="s">
        <v>1263</v>
      </c>
      <c r="E2243" s="14" t="s">
        <v>142</v>
      </c>
      <c r="F2243" s="12" t="s">
        <v>216</v>
      </c>
      <c r="G2243" s="15">
        <v>100</v>
      </c>
      <c r="H2243" s="12" t="s">
        <v>1258</v>
      </c>
      <c r="I2243" s="12" t="s">
        <v>240</v>
      </c>
      <c r="K2243" s="16">
        <v>16.18</v>
      </c>
      <c r="L2243" s="16">
        <v>25.04</v>
      </c>
      <c r="M2243" s="16">
        <v>24.79</v>
      </c>
    </row>
    <row r="2244" spans="1:13" outlineLevel="3" x14ac:dyDescent="0.2">
      <c r="B2244" s="4" t="str">
        <f t="shared" si="75"/>
        <v>0013400100</v>
      </c>
      <c r="C2244" s="5" t="str">
        <f>"428618"</f>
        <v>428618</v>
      </c>
      <c r="D2244" s="12" t="s">
        <v>1260</v>
      </c>
      <c r="E2244" s="14" t="s">
        <v>142</v>
      </c>
      <c r="F2244" s="12" t="s">
        <v>216</v>
      </c>
      <c r="G2244" s="15">
        <v>100</v>
      </c>
      <c r="H2244" s="12" t="s">
        <v>1258</v>
      </c>
      <c r="I2244" s="12" t="s">
        <v>70</v>
      </c>
      <c r="K2244" s="16">
        <v>16.18</v>
      </c>
      <c r="L2244" s="16">
        <v>25.04</v>
      </c>
      <c r="M2244" s="16">
        <v>24.79</v>
      </c>
    </row>
    <row r="2245" spans="1:13" outlineLevel="3" x14ac:dyDescent="0.2">
      <c r="B2245" s="4" t="str">
        <f t="shared" si="75"/>
        <v>0013400100</v>
      </c>
      <c r="C2245" s="5" t="str">
        <f>"431022"</f>
        <v>431022</v>
      </c>
      <c r="D2245" s="12" t="s">
        <v>1262</v>
      </c>
      <c r="E2245" s="14" t="s">
        <v>142</v>
      </c>
      <c r="F2245" s="12" t="s">
        <v>216</v>
      </c>
      <c r="G2245" s="15">
        <v>100</v>
      </c>
      <c r="H2245" s="12" t="s">
        <v>1258</v>
      </c>
      <c r="I2245" s="12" t="s">
        <v>30</v>
      </c>
      <c r="K2245" s="16">
        <v>16.18</v>
      </c>
      <c r="L2245" s="16">
        <v>25.04</v>
      </c>
      <c r="M2245" s="16">
        <v>24.79</v>
      </c>
    </row>
    <row r="2246" spans="1:13" ht="22.5" outlineLevel="3" x14ac:dyDescent="0.2">
      <c r="B2246" s="4" t="str">
        <f t="shared" si="75"/>
        <v>0013400100</v>
      </c>
      <c r="C2246" s="5" t="str">
        <f>"189454"</f>
        <v>189454</v>
      </c>
      <c r="D2246" s="12" t="s">
        <v>1261</v>
      </c>
      <c r="E2246" s="14" t="s">
        <v>142</v>
      </c>
      <c r="F2246" s="12" t="s">
        <v>216</v>
      </c>
      <c r="G2246" s="15">
        <v>100</v>
      </c>
      <c r="H2246" s="12" t="s">
        <v>1258</v>
      </c>
      <c r="I2246" s="12" t="s">
        <v>60</v>
      </c>
      <c r="K2246" s="16">
        <v>15</v>
      </c>
      <c r="L2246" s="16">
        <v>23.29</v>
      </c>
      <c r="M2246" s="16">
        <v>24.79</v>
      </c>
    </row>
    <row r="2247" spans="1:13" outlineLevel="1" x14ac:dyDescent="0.2">
      <c r="A2247" s="3"/>
    </row>
    <row r="2248" spans="1:13" outlineLevel="2" x14ac:dyDescent="0.2">
      <c r="A2248" s="3" t="s">
        <v>1527</v>
      </c>
    </row>
    <row r="2249" spans="1:13" outlineLevel="3" x14ac:dyDescent="0.2">
      <c r="B2249" s="4" t="str">
        <f>"0004800100"</f>
        <v>0004800100</v>
      </c>
      <c r="C2249" s="5" t="str">
        <f>"405688"</f>
        <v>405688</v>
      </c>
      <c r="D2249" s="12" t="s">
        <v>616</v>
      </c>
      <c r="E2249" s="14" t="s">
        <v>617</v>
      </c>
      <c r="F2249" s="12" t="s">
        <v>618</v>
      </c>
      <c r="G2249" s="15" t="s">
        <v>621</v>
      </c>
      <c r="H2249" s="12" t="s">
        <v>620</v>
      </c>
      <c r="I2249" s="12" t="s">
        <v>240</v>
      </c>
      <c r="K2249" s="16">
        <v>8.67</v>
      </c>
      <c r="L2249" s="16">
        <v>13.83</v>
      </c>
      <c r="M2249" s="16">
        <v>13.84</v>
      </c>
    </row>
    <row r="2250" spans="1:13" outlineLevel="3" x14ac:dyDescent="0.2">
      <c r="B2250" s="4" t="str">
        <f>"0004800100"</f>
        <v>0004800100</v>
      </c>
      <c r="C2250" s="5" t="str">
        <f>"586586"</f>
        <v>586586</v>
      </c>
      <c r="D2250" s="12" t="s">
        <v>622</v>
      </c>
      <c r="E2250" s="14" t="s">
        <v>617</v>
      </c>
      <c r="F2250" s="12" t="s">
        <v>618</v>
      </c>
      <c r="G2250" s="15" t="s">
        <v>621</v>
      </c>
      <c r="H2250" s="12" t="s">
        <v>620</v>
      </c>
      <c r="I2250" s="12" t="s">
        <v>5</v>
      </c>
      <c r="K2250" s="16">
        <v>8.67</v>
      </c>
      <c r="L2250" s="16">
        <v>13.83</v>
      </c>
      <c r="M2250" s="16">
        <v>13.84</v>
      </c>
    </row>
    <row r="2251" spans="1:13" ht="22.5" outlineLevel="3" x14ac:dyDescent="0.2">
      <c r="B2251" s="4" t="str">
        <f>"0004800100"</f>
        <v>0004800100</v>
      </c>
      <c r="C2251" s="5" t="str">
        <f>"391987"</f>
        <v>391987</v>
      </c>
      <c r="D2251" s="12" t="s">
        <v>616</v>
      </c>
      <c r="E2251" s="14" t="s">
        <v>617</v>
      </c>
      <c r="F2251" s="12" t="s">
        <v>618</v>
      </c>
      <c r="G2251" s="15" t="s">
        <v>619</v>
      </c>
      <c r="H2251" s="12" t="s">
        <v>620</v>
      </c>
      <c r="I2251" s="12" t="s">
        <v>75</v>
      </c>
      <c r="K2251" s="16">
        <v>7.74</v>
      </c>
      <c r="L2251" s="16">
        <v>12.34</v>
      </c>
      <c r="M2251" s="16">
        <v>13.84</v>
      </c>
    </row>
    <row r="2252" spans="1:13" outlineLevel="1" x14ac:dyDescent="0.2">
      <c r="A2252" s="3"/>
    </row>
    <row r="2253" spans="1:13" outlineLevel="2" x14ac:dyDescent="0.2">
      <c r="A2253" s="3" t="s">
        <v>1528</v>
      </c>
    </row>
    <row r="2254" spans="1:13" ht="22.5" outlineLevel="3" x14ac:dyDescent="0.2">
      <c r="B2254" s="4" t="str">
        <f>"0005910030"</f>
        <v>0005910030</v>
      </c>
      <c r="C2254" s="5" t="str">
        <f>"457903"</f>
        <v>457903</v>
      </c>
      <c r="D2254" s="12" t="s">
        <v>718</v>
      </c>
      <c r="F2254" s="12" t="s">
        <v>73</v>
      </c>
      <c r="G2254" s="15">
        <v>30</v>
      </c>
      <c r="H2254" s="12" t="s">
        <v>719</v>
      </c>
      <c r="I2254" s="12" t="s">
        <v>39</v>
      </c>
      <c r="K2254" s="16">
        <v>2</v>
      </c>
      <c r="L2254" s="16">
        <v>3.19</v>
      </c>
      <c r="M2254" s="16">
        <v>4.6900000000000004</v>
      </c>
    </row>
    <row r="2255" spans="1:13" ht="22.5" outlineLevel="3" x14ac:dyDescent="0.2">
      <c r="B2255" s="4" t="str">
        <f>"0005910030"</f>
        <v>0005910030</v>
      </c>
      <c r="C2255" s="5" t="str">
        <f>"520759"</f>
        <v>520759</v>
      </c>
      <c r="D2255" s="12" t="s">
        <v>720</v>
      </c>
      <c r="E2255" s="14" t="s">
        <v>721</v>
      </c>
      <c r="F2255" s="12" t="s">
        <v>73</v>
      </c>
      <c r="G2255" s="15">
        <v>30</v>
      </c>
      <c r="H2255" s="12" t="s">
        <v>719</v>
      </c>
      <c r="I2255" s="12" t="s">
        <v>504</v>
      </c>
      <c r="K2255" s="16">
        <v>2</v>
      </c>
      <c r="L2255" s="16">
        <v>3.19</v>
      </c>
      <c r="M2255" s="16">
        <v>4.6900000000000004</v>
      </c>
    </row>
    <row r="2256" spans="1:13" ht="22.5" outlineLevel="3" x14ac:dyDescent="0.2">
      <c r="B2256" s="4" t="str">
        <f>"0005910100"</f>
        <v>0005910100</v>
      </c>
      <c r="C2256" s="5" t="str">
        <f>"525014"</f>
        <v>525014</v>
      </c>
      <c r="D2256" s="12" t="s">
        <v>720</v>
      </c>
      <c r="E2256" s="14" t="s">
        <v>721</v>
      </c>
      <c r="F2256" s="12" t="s">
        <v>73</v>
      </c>
      <c r="G2256" s="15">
        <v>100</v>
      </c>
      <c r="H2256" s="12" t="s">
        <v>719</v>
      </c>
      <c r="I2256" s="12" t="s">
        <v>504</v>
      </c>
      <c r="K2256" s="16">
        <v>5.34</v>
      </c>
      <c r="L2256" s="16">
        <v>8.51</v>
      </c>
      <c r="M2256" s="16">
        <v>10.01</v>
      </c>
    </row>
    <row r="2257" spans="1:13" ht="22.5" outlineLevel="3" x14ac:dyDescent="0.2">
      <c r="B2257" s="4" t="str">
        <f>"0005910100"</f>
        <v>0005910100</v>
      </c>
      <c r="C2257" s="5" t="str">
        <f>"552984"</f>
        <v>552984</v>
      </c>
      <c r="D2257" s="12" t="s">
        <v>718</v>
      </c>
      <c r="F2257" s="12" t="s">
        <v>73</v>
      </c>
      <c r="G2257" s="15">
        <v>100</v>
      </c>
      <c r="H2257" s="12" t="s">
        <v>719</v>
      </c>
      <c r="I2257" s="12" t="s">
        <v>39</v>
      </c>
      <c r="K2257" s="16">
        <v>5.34</v>
      </c>
      <c r="L2257" s="16">
        <v>8.51</v>
      </c>
      <c r="M2257" s="16">
        <v>10.01</v>
      </c>
    </row>
    <row r="2258" spans="1:13" outlineLevel="1" x14ac:dyDescent="0.2">
      <c r="A2258" s="3"/>
    </row>
    <row r="2259" spans="1:13" outlineLevel="2" x14ac:dyDescent="0.2">
      <c r="A2259" s="3" t="s">
        <v>1529</v>
      </c>
    </row>
    <row r="2260" spans="1:13" outlineLevel="3" x14ac:dyDescent="0.2">
      <c r="B2260" s="4" t="str">
        <f>"0003150050"</f>
        <v>0003150050</v>
      </c>
      <c r="C2260" s="5" t="str">
        <f>"448670"</f>
        <v>448670</v>
      </c>
      <c r="D2260" s="12" t="s">
        <v>391</v>
      </c>
      <c r="E2260" s="14" t="s">
        <v>82</v>
      </c>
      <c r="F2260" s="12" t="s">
        <v>73</v>
      </c>
      <c r="G2260" s="15">
        <v>50</v>
      </c>
      <c r="H2260" s="12" t="s">
        <v>392</v>
      </c>
      <c r="I2260" s="12" t="s">
        <v>109</v>
      </c>
      <c r="K2260" s="16">
        <v>5.48</v>
      </c>
      <c r="L2260" s="16">
        <v>8.75</v>
      </c>
      <c r="M2260" s="16">
        <v>10.25</v>
      </c>
    </row>
    <row r="2261" spans="1:13" outlineLevel="3" x14ac:dyDescent="0.2">
      <c r="B2261" s="4" t="str">
        <f>"0003150050"</f>
        <v>0003150050</v>
      </c>
      <c r="C2261" s="5" t="str">
        <f>"464362"</f>
        <v>464362</v>
      </c>
      <c r="D2261" s="12" t="s">
        <v>393</v>
      </c>
      <c r="E2261" s="14" t="s">
        <v>82</v>
      </c>
      <c r="F2261" s="12" t="s">
        <v>73</v>
      </c>
      <c r="G2261" s="15">
        <v>50</v>
      </c>
      <c r="H2261" s="12" t="s">
        <v>392</v>
      </c>
      <c r="I2261" s="12" t="s">
        <v>11</v>
      </c>
      <c r="K2261" s="16">
        <v>5.48</v>
      </c>
      <c r="L2261" s="16">
        <v>8.75</v>
      </c>
      <c r="M2261" s="16">
        <v>10.25</v>
      </c>
    </row>
    <row r="2262" spans="1:13" outlineLevel="2" x14ac:dyDescent="0.2"/>
    <row r="2263" spans="1:13" outlineLevel="3" x14ac:dyDescent="0.2">
      <c r="B2263" s="4" t="str">
        <f>"0003160050"</f>
        <v>0003160050</v>
      </c>
      <c r="C2263" s="5" t="str">
        <f>"448688"</f>
        <v>448688</v>
      </c>
      <c r="D2263" s="12" t="s">
        <v>391</v>
      </c>
      <c r="E2263" s="14" t="s">
        <v>102</v>
      </c>
      <c r="F2263" s="12" t="s">
        <v>73</v>
      </c>
      <c r="G2263" s="15">
        <v>50</v>
      </c>
      <c r="H2263" s="12" t="s">
        <v>392</v>
      </c>
      <c r="I2263" s="12" t="s">
        <v>109</v>
      </c>
      <c r="K2263" s="16">
        <v>12.34</v>
      </c>
      <c r="L2263" s="16">
        <v>19.34</v>
      </c>
      <c r="M2263" s="16">
        <v>20.84</v>
      </c>
    </row>
    <row r="2264" spans="1:13" outlineLevel="3" x14ac:dyDescent="0.2">
      <c r="B2264" s="4" t="str">
        <f>"0003160050"</f>
        <v>0003160050</v>
      </c>
      <c r="C2264" s="5" t="str">
        <f>"464396"</f>
        <v>464396</v>
      </c>
      <c r="D2264" s="12" t="s">
        <v>393</v>
      </c>
      <c r="E2264" s="14" t="s">
        <v>102</v>
      </c>
      <c r="F2264" s="12" t="s">
        <v>73</v>
      </c>
      <c r="G2264" s="15">
        <v>50</v>
      </c>
      <c r="H2264" s="12" t="s">
        <v>392</v>
      </c>
      <c r="I2264" s="12" t="s">
        <v>11</v>
      </c>
      <c r="K2264" s="16">
        <v>12.34</v>
      </c>
      <c r="L2264" s="16">
        <v>19.34</v>
      </c>
      <c r="M2264" s="16">
        <v>20.84</v>
      </c>
    </row>
    <row r="2265" spans="1:13" outlineLevel="1" x14ac:dyDescent="0.2">
      <c r="A2265" s="3"/>
    </row>
    <row r="2266" spans="1:13" outlineLevel="2" x14ac:dyDescent="0.2">
      <c r="A2266" s="3" t="s">
        <v>1530</v>
      </c>
    </row>
    <row r="2267" spans="1:13" outlineLevel="3" x14ac:dyDescent="0.2">
      <c r="B2267" s="4" t="str">
        <f>"0003170030"</f>
        <v>0003170030</v>
      </c>
      <c r="C2267" s="5" t="str">
        <f>"001024"</f>
        <v>001024</v>
      </c>
      <c r="D2267" s="12" t="s">
        <v>394</v>
      </c>
      <c r="E2267" s="14" t="s">
        <v>179</v>
      </c>
      <c r="F2267" s="12" t="s">
        <v>73</v>
      </c>
      <c r="G2267" s="15">
        <v>30</v>
      </c>
      <c r="H2267" s="12" t="s">
        <v>395</v>
      </c>
      <c r="I2267" s="12" t="s">
        <v>109</v>
      </c>
      <c r="K2267" s="16">
        <v>4.96</v>
      </c>
      <c r="L2267" s="16">
        <v>7.91</v>
      </c>
      <c r="M2267" s="16">
        <v>9.41</v>
      </c>
    </row>
    <row r="2268" spans="1:13" ht="22.5" outlineLevel="3" x14ac:dyDescent="0.2">
      <c r="B2268" s="4" t="str">
        <f>"0003170030"</f>
        <v>0003170030</v>
      </c>
      <c r="C2268" s="5" t="str">
        <f>"041237"</f>
        <v>041237</v>
      </c>
      <c r="D2268" s="12" t="s">
        <v>396</v>
      </c>
      <c r="E2268" s="14" t="s">
        <v>179</v>
      </c>
      <c r="F2268" s="12" t="s">
        <v>73</v>
      </c>
      <c r="G2268" s="15">
        <v>30</v>
      </c>
      <c r="H2268" s="12" t="s">
        <v>395</v>
      </c>
      <c r="I2268" s="12" t="s">
        <v>68</v>
      </c>
      <c r="K2268" s="16">
        <v>4.96</v>
      </c>
      <c r="L2268" s="16">
        <v>7.91</v>
      </c>
      <c r="M2268" s="16">
        <v>9.41</v>
      </c>
    </row>
    <row r="2269" spans="1:13" ht="22.5" outlineLevel="3" x14ac:dyDescent="0.2">
      <c r="B2269" s="4" t="str">
        <f>"0003170030"</f>
        <v>0003170030</v>
      </c>
      <c r="C2269" s="5" t="str">
        <f>"062159"</f>
        <v>062159</v>
      </c>
      <c r="D2269" s="12" t="s">
        <v>397</v>
      </c>
      <c r="E2269" s="14" t="s">
        <v>179</v>
      </c>
      <c r="F2269" s="12" t="s">
        <v>73</v>
      </c>
      <c r="G2269" s="15">
        <v>30</v>
      </c>
      <c r="H2269" s="12" t="s">
        <v>395</v>
      </c>
      <c r="I2269" s="12" t="s">
        <v>104</v>
      </c>
      <c r="K2269" s="16">
        <v>4.96</v>
      </c>
      <c r="L2269" s="16">
        <v>7.91</v>
      </c>
      <c r="M2269" s="16">
        <v>9.41</v>
      </c>
    </row>
    <row r="2270" spans="1:13" outlineLevel="2" x14ac:dyDescent="0.2"/>
    <row r="2271" spans="1:13" outlineLevel="3" x14ac:dyDescent="0.2">
      <c r="B2271" s="4" t="str">
        <f>"0003170100"</f>
        <v>0003170100</v>
      </c>
      <c r="C2271" s="5" t="str">
        <f>"001115"</f>
        <v>001115</v>
      </c>
      <c r="D2271" s="12" t="s">
        <v>394</v>
      </c>
      <c r="E2271" s="14" t="s">
        <v>179</v>
      </c>
      <c r="F2271" s="12" t="s">
        <v>73</v>
      </c>
      <c r="G2271" s="15">
        <v>100</v>
      </c>
      <c r="H2271" s="12" t="s">
        <v>395</v>
      </c>
      <c r="I2271" s="12" t="s">
        <v>109</v>
      </c>
      <c r="K2271" s="16">
        <v>15.04</v>
      </c>
      <c r="L2271" s="16">
        <v>23.34</v>
      </c>
      <c r="M2271" s="16">
        <v>24.84</v>
      </c>
    </row>
    <row r="2272" spans="1:13" ht="22.5" outlineLevel="3" x14ac:dyDescent="0.2">
      <c r="B2272" s="4" t="str">
        <f>"0003170100"</f>
        <v>0003170100</v>
      </c>
      <c r="C2272" s="5" t="str">
        <f>"062171"</f>
        <v>062171</v>
      </c>
      <c r="D2272" s="12" t="s">
        <v>397</v>
      </c>
      <c r="E2272" s="14" t="s">
        <v>179</v>
      </c>
      <c r="F2272" s="12" t="s">
        <v>73</v>
      </c>
      <c r="G2272" s="15">
        <v>100</v>
      </c>
      <c r="H2272" s="12" t="s">
        <v>395</v>
      </c>
      <c r="I2272" s="12" t="s">
        <v>104</v>
      </c>
      <c r="K2272" s="16">
        <v>15.04</v>
      </c>
      <c r="L2272" s="16">
        <v>23.34</v>
      </c>
      <c r="M2272" s="16">
        <v>24.84</v>
      </c>
    </row>
    <row r="2273" spans="1:13" outlineLevel="3" x14ac:dyDescent="0.2">
      <c r="B2273" s="4" t="str">
        <f>"0003170100"</f>
        <v>0003170100</v>
      </c>
      <c r="C2273" s="5" t="str">
        <f>"121130"</f>
        <v>121130</v>
      </c>
      <c r="D2273" s="12" t="s">
        <v>398</v>
      </c>
      <c r="E2273" s="14" t="s">
        <v>179</v>
      </c>
      <c r="F2273" s="12" t="s">
        <v>73</v>
      </c>
      <c r="G2273" s="15">
        <v>100</v>
      </c>
      <c r="H2273" s="12" t="s">
        <v>395</v>
      </c>
      <c r="I2273" s="12" t="s">
        <v>298</v>
      </c>
      <c r="K2273" s="16">
        <v>15.04</v>
      </c>
      <c r="L2273" s="16">
        <v>23.34</v>
      </c>
      <c r="M2273" s="16">
        <v>24.84</v>
      </c>
    </row>
    <row r="2274" spans="1:13" outlineLevel="2" x14ac:dyDescent="0.2"/>
    <row r="2275" spans="1:13" outlineLevel="3" x14ac:dyDescent="0.2">
      <c r="B2275" s="4" t="str">
        <f>"0005170030"</f>
        <v>0005170030</v>
      </c>
      <c r="C2275" s="5" t="str">
        <f>"000976"</f>
        <v>000976</v>
      </c>
      <c r="D2275" s="12" t="s">
        <v>394</v>
      </c>
      <c r="E2275" s="14" t="s">
        <v>649</v>
      </c>
      <c r="F2275" s="12" t="s">
        <v>73</v>
      </c>
      <c r="G2275" s="15">
        <v>30</v>
      </c>
      <c r="H2275" s="12" t="s">
        <v>395</v>
      </c>
      <c r="I2275" s="12" t="s">
        <v>109</v>
      </c>
      <c r="K2275" s="16">
        <v>2.71</v>
      </c>
      <c r="L2275" s="16">
        <v>4.32</v>
      </c>
      <c r="M2275" s="16">
        <v>5.82</v>
      </c>
    </row>
    <row r="2276" spans="1:13" ht="22.5" outlineLevel="3" x14ac:dyDescent="0.2">
      <c r="B2276" s="4" t="str">
        <f>"0005170030"</f>
        <v>0005170030</v>
      </c>
      <c r="C2276" s="5" t="str">
        <f>"041215"</f>
        <v>041215</v>
      </c>
      <c r="D2276" s="12" t="s">
        <v>396</v>
      </c>
      <c r="E2276" s="14" t="s">
        <v>649</v>
      </c>
      <c r="F2276" s="12" t="s">
        <v>73</v>
      </c>
      <c r="G2276" s="15">
        <v>30</v>
      </c>
      <c r="H2276" s="12" t="s">
        <v>395</v>
      </c>
      <c r="I2276" s="12" t="s">
        <v>68</v>
      </c>
      <c r="K2276" s="16">
        <v>2.71</v>
      </c>
      <c r="L2276" s="16">
        <v>4.32</v>
      </c>
      <c r="M2276" s="16">
        <v>5.82</v>
      </c>
    </row>
    <row r="2277" spans="1:13" ht="22.5" outlineLevel="3" x14ac:dyDescent="0.2">
      <c r="B2277" s="4" t="str">
        <f>"0005170030"</f>
        <v>0005170030</v>
      </c>
      <c r="C2277" s="5" t="str">
        <f>"062137"</f>
        <v>062137</v>
      </c>
      <c r="D2277" s="12" t="s">
        <v>397</v>
      </c>
      <c r="E2277" s="14" t="s">
        <v>649</v>
      </c>
      <c r="F2277" s="12" t="s">
        <v>73</v>
      </c>
      <c r="G2277" s="15">
        <v>30</v>
      </c>
      <c r="H2277" s="12" t="s">
        <v>395</v>
      </c>
      <c r="I2277" s="12" t="s">
        <v>104</v>
      </c>
      <c r="K2277" s="16">
        <v>2.71</v>
      </c>
      <c r="L2277" s="16">
        <v>4.32</v>
      </c>
      <c r="M2277" s="16">
        <v>5.82</v>
      </c>
    </row>
    <row r="2278" spans="1:13" outlineLevel="3" x14ac:dyDescent="0.2">
      <c r="B2278" s="4" t="str">
        <f>"0005170030"</f>
        <v>0005170030</v>
      </c>
      <c r="C2278" s="5" t="str">
        <f>"134752"</f>
        <v>134752</v>
      </c>
      <c r="D2278" s="12" t="s">
        <v>398</v>
      </c>
      <c r="E2278" s="14" t="s">
        <v>649</v>
      </c>
      <c r="F2278" s="12" t="s">
        <v>73</v>
      </c>
      <c r="G2278" s="15">
        <v>30</v>
      </c>
      <c r="H2278" s="12" t="s">
        <v>395</v>
      </c>
      <c r="I2278" s="12" t="s">
        <v>298</v>
      </c>
      <c r="K2278" s="16">
        <v>2.71</v>
      </c>
      <c r="L2278" s="16">
        <v>4.32</v>
      </c>
      <c r="M2278" s="16">
        <v>5.82</v>
      </c>
    </row>
    <row r="2279" spans="1:13" outlineLevel="2" x14ac:dyDescent="0.2"/>
    <row r="2280" spans="1:13" outlineLevel="3" x14ac:dyDescent="0.2">
      <c r="B2280" s="4" t="str">
        <f>"0005170100"</f>
        <v>0005170100</v>
      </c>
      <c r="C2280" s="5" t="str">
        <f>"001008"</f>
        <v>001008</v>
      </c>
      <c r="D2280" s="12" t="s">
        <v>394</v>
      </c>
      <c r="E2280" s="14" t="s">
        <v>649</v>
      </c>
      <c r="F2280" s="12" t="s">
        <v>73</v>
      </c>
      <c r="G2280" s="15">
        <v>100</v>
      </c>
      <c r="H2280" s="12" t="s">
        <v>395</v>
      </c>
      <c r="I2280" s="12" t="s">
        <v>109</v>
      </c>
      <c r="K2280" s="16">
        <v>8.35</v>
      </c>
      <c r="L2280" s="16">
        <v>13.32</v>
      </c>
      <c r="M2280" s="16">
        <v>14.82</v>
      </c>
    </row>
    <row r="2281" spans="1:13" ht="22.5" outlineLevel="3" x14ac:dyDescent="0.2">
      <c r="B2281" s="4" t="str">
        <f>"0005170100"</f>
        <v>0005170100</v>
      </c>
      <c r="C2281" s="5" t="str">
        <f>"062148"</f>
        <v>062148</v>
      </c>
      <c r="D2281" s="12" t="s">
        <v>397</v>
      </c>
      <c r="E2281" s="14" t="s">
        <v>649</v>
      </c>
      <c r="F2281" s="12" t="s">
        <v>73</v>
      </c>
      <c r="G2281" s="15">
        <v>100</v>
      </c>
      <c r="H2281" s="12" t="s">
        <v>395</v>
      </c>
      <c r="I2281" s="12" t="s">
        <v>104</v>
      </c>
      <c r="K2281" s="16">
        <v>8.35</v>
      </c>
      <c r="L2281" s="16">
        <v>13.32</v>
      </c>
      <c r="M2281" s="16">
        <v>14.82</v>
      </c>
    </row>
    <row r="2282" spans="1:13" outlineLevel="3" x14ac:dyDescent="0.2">
      <c r="B2282" s="4" t="str">
        <f>"0005170100"</f>
        <v>0005170100</v>
      </c>
      <c r="C2282" s="5" t="str">
        <f>"121118"</f>
        <v>121118</v>
      </c>
      <c r="D2282" s="12" t="s">
        <v>398</v>
      </c>
      <c r="E2282" s="14" t="s">
        <v>649</v>
      </c>
      <c r="F2282" s="12" t="s">
        <v>73</v>
      </c>
      <c r="G2282" s="15">
        <v>100</v>
      </c>
      <c r="H2282" s="12" t="s">
        <v>395</v>
      </c>
      <c r="I2282" s="12" t="s">
        <v>298</v>
      </c>
      <c r="K2282" s="16">
        <v>8.35</v>
      </c>
      <c r="L2282" s="16">
        <v>13.32</v>
      </c>
      <c r="M2282" s="16">
        <v>14.82</v>
      </c>
    </row>
    <row r="2283" spans="1:13" outlineLevel="1" x14ac:dyDescent="0.2">
      <c r="A2283" s="3"/>
    </row>
    <row r="2284" spans="1:13" outlineLevel="2" x14ac:dyDescent="0.2">
      <c r="A2284" s="3" t="s">
        <v>1531</v>
      </c>
    </row>
    <row r="2285" spans="1:13" ht="22.5" outlineLevel="3" x14ac:dyDescent="0.2">
      <c r="B2285" s="4" t="str">
        <f>"0003180100"</f>
        <v>0003180100</v>
      </c>
      <c r="C2285" s="5" t="str">
        <f>"074725"</f>
        <v>074725</v>
      </c>
      <c r="D2285" s="12" t="s">
        <v>399</v>
      </c>
      <c r="E2285" s="14" t="s">
        <v>118</v>
      </c>
      <c r="F2285" s="12" t="s">
        <v>73</v>
      </c>
      <c r="G2285" s="15">
        <v>100</v>
      </c>
      <c r="H2285" s="12" t="s">
        <v>400</v>
      </c>
      <c r="I2285" s="12" t="s">
        <v>401</v>
      </c>
      <c r="J2285" s="2" t="s">
        <v>1400</v>
      </c>
      <c r="K2285" s="16">
        <v>5.25</v>
      </c>
      <c r="L2285" s="16">
        <v>8.3699999999999992</v>
      </c>
      <c r="M2285" s="16">
        <v>9.8699999999999992</v>
      </c>
    </row>
    <row r="2286" spans="1:13" outlineLevel="3" x14ac:dyDescent="0.2">
      <c r="B2286" s="4" t="str">
        <f>"0003180100"</f>
        <v>0003180100</v>
      </c>
      <c r="C2286" s="5" t="str">
        <f>"197160"</f>
        <v>197160</v>
      </c>
      <c r="D2286" s="12" t="s">
        <v>402</v>
      </c>
      <c r="E2286" s="14" t="s">
        <v>118</v>
      </c>
      <c r="F2286" s="12" t="s">
        <v>73</v>
      </c>
      <c r="G2286" s="15">
        <v>100</v>
      </c>
      <c r="H2286" s="12" t="s">
        <v>400</v>
      </c>
      <c r="I2286" s="12" t="s">
        <v>5</v>
      </c>
      <c r="K2286" s="16">
        <v>5.25</v>
      </c>
      <c r="L2286" s="16">
        <v>8.3699999999999992</v>
      </c>
      <c r="M2286" s="16">
        <v>9.8699999999999992</v>
      </c>
    </row>
    <row r="2287" spans="1:13" outlineLevel="3" x14ac:dyDescent="0.2">
      <c r="B2287" s="4" t="str">
        <f>"0003180100"</f>
        <v>0003180100</v>
      </c>
      <c r="C2287" s="5" t="str">
        <f>"395469"</f>
        <v>395469</v>
      </c>
      <c r="D2287" s="12" t="s">
        <v>403</v>
      </c>
      <c r="E2287" s="14" t="s">
        <v>118</v>
      </c>
      <c r="F2287" s="12" t="s">
        <v>73</v>
      </c>
      <c r="G2287" s="15">
        <v>100</v>
      </c>
      <c r="H2287" s="12" t="s">
        <v>400</v>
      </c>
      <c r="I2287" s="12" t="s">
        <v>70</v>
      </c>
      <c r="K2287" s="16">
        <v>5.25</v>
      </c>
      <c r="L2287" s="16">
        <v>8.3699999999999992</v>
      </c>
      <c r="M2287" s="16">
        <v>9.8699999999999992</v>
      </c>
    </row>
    <row r="2288" spans="1:13" outlineLevel="2" x14ac:dyDescent="0.2"/>
    <row r="2289" spans="1:13" outlineLevel="3" x14ac:dyDescent="0.2">
      <c r="B2289" s="4" t="str">
        <f>"0003180250"</f>
        <v>0003180250</v>
      </c>
      <c r="C2289" s="5" t="str">
        <f>"395404"</f>
        <v>395404</v>
      </c>
      <c r="D2289" s="12" t="s">
        <v>403</v>
      </c>
      <c r="E2289" s="14" t="s">
        <v>118</v>
      </c>
      <c r="F2289" s="12" t="s">
        <v>73</v>
      </c>
      <c r="G2289" s="15">
        <v>250</v>
      </c>
      <c r="H2289" s="12" t="s">
        <v>400</v>
      </c>
      <c r="I2289" s="12" t="s">
        <v>70</v>
      </c>
      <c r="K2289" s="16">
        <v>12.87</v>
      </c>
      <c r="L2289" s="16">
        <v>20.12</v>
      </c>
      <c r="M2289" s="16">
        <v>21.62</v>
      </c>
    </row>
    <row r="2290" spans="1:13" outlineLevel="2" x14ac:dyDescent="0.2"/>
    <row r="2291" spans="1:13" outlineLevel="3" x14ac:dyDescent="0.2">
      <c r="B2291" s="4" t="str">
        <f>"0003190030"</f>
        <v>0003190030</v>
      </c>
      <c r="C2291" s="5" t="str">
        <f>"196352"</f>
        <v>196352</v>
      </c>
      <c r="D2291" s="12" t="s">
        <v>402</v>
      </c>
      <c r="E2291" s="14" t="s">
        <v>12</v>
      </c>
      <c r="F2291" s="12" t="s">
        <v>73</v>
      </c>
      <c r="G2291" s="15">
        <v>30</v>
      </c>
      <c r="H2291" s="12" t="s">
        <v>400</v>
      </c>
      <c r="I2291" s="12" t="s">
        <v>5</v>
      </c>
      <c r="K2291" s="16">
        <v>4.72</v>
      </c>
      <c r="L2291" s="16">
        <v>7.52</v>
      </c>
      <c r="M2291" s="16">
        <v>9.02</v>
      </c>
    </row>
    <row r="2292" spans="1:13" outlineLevel="3" x14ac:dyDescent="0.2">
      <c r="B2292" s="4" t="str">
        <f>"0003190030"</f>
        <v>0003190030</v>
      </c>
      <c r="C2292" s="5" t="str">
        <f>"395924"</f>
        <v>395924</v>
      </c>
      <c r="D2292" s="12" t="s">
        <v>403</v>
      </c>
      <c r="E2292" s="14" t="s">
        <v>12</v>
      </c>
      <c r="F2292" s="12" t="s">
        <v>73</v>
      </c>
      <c r="G2292" s="15">
        <v>30</v>
      </c>
      <c r="H2292" s="12" t="s">
        <v>400</v>
      </c>
      <c r="I2292" s="12" t="s">
        <v>70</v>
      </c>
      <c r="K2292" s="16">
        <v>4.72</v>
      </c>
      <c r="L2292" s="16">
        <v>7.52</v>
      </c>
      <c r="M2292" s="16">
        <v>9.02</v>
      </c>
    </row>
    <row r="2293" spans="1:13" outlineLevel="2" x14ac:dyDescent="0.2"/>
    <row r="2294" spans="1:13" ht="22.5" outlineLevel="3" x14ac:dyDescent="0.2">
      <c r="B2294" s="4" t="str">
        <f>"0003190100"</f>
        <v>0003190100</v>
      </c>
      <c r="C2294" s="5" t="str">
        <f>"074713"</f>
        <v>074713</v>
      </c>
      <c r="D2294" s="12" t="s">
        <v>399</v>
      </c>
      <c r="E2294" s="14" t="s">
        <v>12</v>
      </c>
      <c r="F2294" s="12" t="s">
        <v>73</v>
      </c>
      <c r="G2294" s="15">
        <v>100</v>
      </c>
      <c r="H2294" s="12" t="s">
        <v>400</v>
      </c>
      <c r="I2294" s="12" t="s">
        <v>401</v>
      </c>
      <c r="K2294" s="16">
        <v>14.18</v>
      </c>
      <c r="L2294" s="16">
        <v>22.07</v>
      </c>
      <c r="M2294" s="16">
        <v>23.57</v>
      </c>
    </row>
    <row r="2295" spans="1:13" outlineLevel="3" x14ac:dyDescent="0.2">
      <c r="B2295" s="4" t="str">
        <f>"0003190100"</f>
        <v>0003190100</v>
      </c>
      <c r="C2295" s="5" t="str">
        <f>"196444"</f>
        <v>196444</v>
      </c>
      <c r="D2295" s="12" t="s">
        <v>402</v>
      </c>
      <c r="E2295" s="14" t="s">
        <v>12</v>
      </c>
      <c r="F2295" s="12" t="s">
        <v>73</v>
      </c>
      <c r="G2295" s="15">
        <v>100</v>
      </c>
      <c r="H2295" s="12" t="s">
        <v>400</v>
      </c>
      <c r="I2295" s="12" t="s">
        <v>5</v>
      </c>
      <c r="K2295" s="16">
        <v>14.18</v>
      </c>
      <c r="L2295" s="16">
        <v>22.07</v>
      </c>
      <c r="M2295" s="16">
        <v>23.57</v>
      </c>
    </row>
    <row r="2296" spans="1:13" outlineLevel="3" x14ac:dyDescent="0.2">
      <c r="B2296" s="4" t="str">
        <f>"0003190100"</f>
        <v>0003190100</v>
      </c>
      <c r="C2296" s="5" t="str">
        <f>"395850"</f>
        <v>395850</v>
      </c>
      <c r="D2296" s="12" t="s">
        <v>403</v>
      </c>
      <c r="E2296" s="14" t="s">
        <v>12</v>
      </c>
      <c r="F2296" s="12" t="s">
        <v>73</v>
      </c>
      <c r="G2296" s="15">
        <v>100</v>
      </c>
      <c r="H2296" s="12" t="s">
        <v>400</v>
      </c>
      <c r="I2296" s="12" t="s">
        <v>70</v>
      </c>
      <c r="K2296" s="16">
        <v>14.18</v>
      </c>
      <c r="L2296" s="16">
        <v>22.07</v>
      </c>
      <c r="M2296" s="16">
        <v>23.57</v>
      </c>
    </row>
    <row r="2297" spans="1:13" outlineLevel="3" x14ac:dyDescent="0.2"/>
    <row r="2298" spans="1:13" outlineLevel="2" x14ac:dyDescent="0.2">
      <c r="A2298" s="3" t="s">
        <v>1532</v>
      </c>
    </row>
    <row r="2299" spans="1:13" ht="33.75" outlineLevel="3" x14ac:dyDescent="0.2">
      <c r="B2299" s="4" t="str">
        <f>"0008330004"</f>
        <v>0008330004</v>
      </c>
      <c r="C2299" s="5" t="str">
        <f>"030663"</f>
        <v>030663</v>
      </c>
      <c r="D2299" s="12" t="s">
        <v>900</v>
      </c>
      <c r="E2299" s="14" t="s">
        <v>901</v>
      </c>
      <c r="F2299" s="12" t="s">
        <v>3</v>
      </c>
      <c r="G2299" s="15">
        <v>4</v>
      </c>
      <c r="H2299" s="12" t="s">
        <v>902</v>
      </c>
      <c r="I2299" s="12" t="s">
        <v>5</v>
      </c>
      <c r="K2299" s="16">
        <v>15</v>
      </c>
      <c r="L2299" s="16">
        <v>23.29</v>
      </c>
      <c r="M2299" s="16">
        <v>24.5</v>
      </c>
    </row>
    <row r="2300" spans="1:13" outlineLevel="3" x14ac:dyDescent="0.2">
      <c r="B2300" s="4" t="str">
        <f>"0008330004"</f>
        <v>0008330004</v>
      </c>
      <c r="C2300" s="5" t="str">
        <f>"153884"</f>
        <v>153884</v>
      </c>
      <c r="D2300" s="12" t="s">
        <v>903</v>
      </c>
      <c r="E2300" s="14" t="s">
        <v>901</v>
      </c>
      <c r="F2300" s="12" t="s">
        <v>73</v>
      </c>
      <c r="G2300" s="15">
        <v>4</v>
      </c>
      <c r="H2300" s="12" t="s">
        <v>902</v>
      </c>
      <c r="I2300" s="12" t="s">
        <v>11</v>
      </c>
      <c r="K2300" s="16">
        <v>14.81</v>
      </c>
      <c r="L2300" s="16">
        <v>23</v>
      </c>
      <c r="M2300" s="16">
        <v>24.5</v>
      </c>
    </row>
    <row r="2301" spans="1:13" outlineLevel="2" x14ac:dyDescent="0.2"/>
    <row r="2302" spans="1:13" ht="33.75" outlineLevel="3" x14ac:dyDescent="0.2">
      <c r="B2302" s="4" t="str">
        <f>"0008330012"</f>
        <v>0008330012</v>
      </c>
      <c r="C2302" s="5" t="str">
        <f>"030674"</f>
        <v>030674</v>
      </c>
      <c r="D2302" s="12" t="s">
        <v>900</v>
      </c>
      <c r="E2302" s="14" t="s">
        <v>901</v>
      </c>
      <c r="F2302" s="12" t="s">
        <v>3</v>
      </c>
      <c r="G2302" s="15">
        <v>12</v>
      </c>
      <c r="H2302" s="12" t="s">
        <v>902</v>
      </c>
      <c r="I2302" s="12" t="s">
        <v>5</v>
      </c>
      <c r="K2302" s="16">
        <v>15.42</v>
      </c>
      <c r="L2302" s="16">
        <v>23.91</v>
      </c>
      <c r="M2302" s="16">
        <v>25.3</v>
      </c>
    </row>
    <row r="2303" spans="1:13" ht="33.75" outlineLevel="3" x14ac:dyDescent="0.2">
      <c r="B2303" s="4" t="str">
        <f>"0008330012"</f>
        <v>0008330012</v>
      </c>
      <c r="C2303" s="5" t="str">
        <f>"166731"</f>
        <v>166731</v>
      </c>
      <c r="D2303" s="12" t="s">
        <v>905</v>
      </c>
      <c r="E2303" s="14" t="s">
        <v>901</v>
      </c>
      <c r="F2303" s="12" t="s">
        <v>3</v>
      </c>
      <c r="G2303" s="15">
        <v>12</v>
      </c>
      <c r="H2303" s="12" t="s">
        <v>902</v>
      </c>
      <c r="I2303" s="12" t="s">
        <v>70</v>
      </c>
      <c r="K2303" s="16">
        <v>15.41</v>
      </c>
      <c r="L2303" s="16">
        <v>23.89</v>
      </c>
      <c r="M2303" s="16">
        <v>25.3</v>
      </c>
    </row>
    <row r="2304" spans="1:13" outlineLevel="3" x14ac:dyDescent="0.2">
      <c r="B2304" s="4" t="str">
        <f>"0008330012"</f>
        <v>0008330012</v>
      </c>
      <c r="C2304" s="5" t="str">
        <f>"153895"</f>
        <v>153895</v>
      </c>
      <c r="D2304" s="12" t="s">
        <v>903</v>
      </c>
      <c r="E2304" s="14" t="s">
        <v>901</v>
      </c>
      <c r="F2304" s="12" t="s">
        <v>73</v>
      </c>
      <c r="G2304" s="15">
        <v>12</v>
      </c>
      <c r="H2304" s="12" t="s">
        <v>902</v>
      </c>
      <c r="I2304" s="12" t="s">
        <v>11</v>
      </c>
      <c r="K2304" s="16">
        <v>15.35</v>
      </c>
      <c r="L2304" s="16">
        <v>23.8</v>
      </c>
      <c r="M2304" s="16">
        <v>25.3</v>
      </c>
    </row>
    <row r="2305" spans="1:13" ht="22.5" outlineLevel="3" x14ac:dyDescent="0.2">
      <c r="B2305" s="4" t="str">
        <f>"0008330012"</f>
        <v>0008330012</v>
      </c>
      <c r="C2305" s="5" t="str">
        <f>"041598"</f>
        <v>041598</v>
      </c>
      <c r="D2305" s="12" t="s">
        <v>904</v>
      </c>
      <c r="E2305" s="14" t="s">
        <v>901</v>
      </c>
      <c r="F2305" s="12" t="s">
        <v>73</v>
      </c>
      <c r="G2305" s="15">
        <v>12</v>
      </c>
      <c r="H2305" s="12" t="s">
        <v>902</v>
      </c>
      <c r="I2305" s="12" t="s">
        <v>20</v>
      </c>
      <c r="J2305" s="2" t="s">
        <v>1400</v>
      </c>
      <c r="K2305" s="16">
        <v>14.41</v>
      </c>
      <c r="L2305" s="16">
        <v>22.41</v>
      </c>
      <c r="M2305" s="16">
        <v>25.3</v>
      </c>
    </row>
    <row r="2306" spans="1:13" outlineLevel="1" x14ac:dyDescent="0.2">
      <c r="A2306" s="3"/>
    </row>
    <row r="2307" spans="1:13" outlineLevel="2" x14ac:dyDescent="0.2">
      <c r="A2307" s="3" t="s">
        <v>1533</v>
      </c>
    </row>
    <row r="2308" spans="1:13" ht="33.75" outlineLevel="3" x14ac:dyDescent="0.2">
      <c r="B2308" s="4" t="str">
        <f>"0010690001"</f>
        <v>0010690001</v>
      </c>
      <c r="C2308" s="5" t="str">
        <f>"025588"</f>
        <v>025588</v>
      </c>
      <c r="D2308" s="12" t="s">
        <v>1075</v>
      </c>
      <c r="E2308" s="14" t="s">
        <v>2</v>
      </c>
      <c r="F2308" s="12" t="s">
        <v>3</v>
      </c>
      <c r="G2308" s="15">
        <v>1</v>
      </c>
      <c r="H2308" s="12" t="s">
        <v>1076</v>
      </c>
      <c r="I2308" s="12" t="s">
        <v>1072</v>
      </c>
      <c r="K2308" s="16">
        <v>15.27</v>
      </c>
      <c r="L2308" s="16">
        <v>23.68</v>
      </c>
      <c r="M2308" s="16">
        <v>20.04</v>
      </c>
    </row>
    <row r="2309" spans="1:13" ht="33.75" outlineLevel="3" x14ac:dyDescent="0.2">
      <c r="B2309" s="4" t="str">
        <f>"0010690001"</f>
        <v>0010690001</v>
      </c>
      <c r="C2309" s="5" t="str">
        <f>"558709"</f>
        <v>558709</v>
      </c>
      <c r="D2309" s="12" t="s">
        <v>1078</v>
      </c>
      <c r="E2309" s="14" t="s">
        <v>2</v>
      </c>
      <c r="F2309" s="12" t="s">
        <v>3</v>
      </c>
      <c r="G2309" s="15">
        <v>1</v>
      </c>
      <c r="H2309" s="12" t="s">
        <v>1076</v>
      </c>
      <c r="I2309" s="12" t="s">
        <v>5</v>
      </c>
      <c r="K2309" s="16">
        <v>11.87</v>
      </c>
      <c r="L2309" s="16">
        <v>18.63</v>
      </c>
      <c r="M2309" s="16">
        <v>20.04</v>
      </c>
    </row>
    <row r="2310" spans="1:13" ht="33.75" outlineLevel="3" x14ac:dyDescent="0.2">
      <c r="B2310" s="4" t="str">
        <f>"0010690001"</f>
        <v>0010690001</v>
      </c>
      <c r="C2310" s="5" t="str">
        <f>"571466"</f>
        <v>571466</v>
      </c>
      <c r="D2310" s="12" t="s">
        <v>1079</v>
      </c>
      <c r="E2310" s="14" t="s">
        <v>2</v>
      </c>
      <c r="F2310" s="12" t="s">
        <v>3</v>
      </c>
      <c r="G2310" s="15">
        <v>1</v>
      </c>
      <c r="H2310" s="12" t="s">
        <v>1076</v>
      </c>
      <c r="I2310" s="12" t="s">
        <v>68</v>
      </c>
      <c r="K2310" s="16">
        <v>11.87</v>
      </c>
      <c r="L2310" s="16">
        <v>18.63</v>
      </c>
      <c r="M2310" s="16">
        <v>20.04</v>
      </c>
    </row>
    <row r="2311" spans="1:13" ht="33.75" outlineLevel="3" x14ac:dyDescent="0.2">
      <c r="B2311" s="4" t="str">
        <f>"0010690001"</f>
        <v>0010690001</v>
      </c>
      <c r="C2311" s="5" t="str">
        <f>"514924"</f>
        <v>514924</v>
      </c>
      <c r="D2311" s="12" t="s">
        <v>1077</v>
      </c>
      <c r="E2311" s="14" t="s">
        <v>2</v>
      </c>
      <c r="F2311" s="12" t="s">
        <v>3</v>
      </c>
      <c r="G2311" s="15">
        <v>1</v>
      </c>
      <c r="H2311" s="12" t="s">
        <v>1076</v>
      </c>
      <c r="I2311" s="12" t="s">
        <v>60</v>
      </c>
      <c r="K2311" s="16">
        <v>11.8</v>
      </c>
      <c r="L2311" s="16">
        <v>18.54</v>
      </c>
      <c r="M2311" s="16">
        <v>20.04</v>
      </c>
    </row>
    <row r="2312" spans="1:13" outlineLevel="2" x14ac:dyDescent="0.2"/>
    <row r="2313" spans="1:13" ht="33.75" outlineLevel="3" x14ac:dyDescent="0.2">
      <c r="B2313" s="4" t="str">
        <f t="shared" ref="B2313:B2318" si="76">"0010690003"</f>
        <v>0010690003</v>
      </c>
      <c r="C2313" s="5" t="str">
        <f>"032780"</f>
        <v>032780</v>
      </c>
      <c r="D2313" s="12" t="s">
        <v>1075</v>
      </c>
      <c r="E2313" s="14" t="s">
        <v>2</v>
      </c>
      <c r="F2313" s="12" t="s">
        <v>3</v>
      </c>
      <c r="G2313" s="15">
        <v>3</v>
      </c>
      <c r="H2313" s="12" t="s">
        <v>1076</v>
      </c>
      <c r="I2313" s="12" t="s">
        <v>76</v>
      </c>
      <c r="J2313" s="2" t="s">
        <v>1400</v>
      </c>
      <c r="K2313" s="16">
        <v>45.82</v>
      </c>
      <c r="L2313" s="16">
        <v>69.06</v>
      </c>
      <c r="M2313" s="16">
        <v>28.51</v>
      </c>
    </row>
    <row r="2314" spans="1:13" ht="33.75" outlineLevel="3" x14ac:dyDescent="0.2">
      <c r="B2314" s="4" t="str">
        <f t="shared" si="76"/>
        <v>0010690003</v>
      </c>
      <c r="C2314" s="5" t="str">
        <f>"025599"</f>
        <v>025599</v>
      </c>
      <c r="D2314" s="12" t="s">
        <v>1075</v>
      </c>
      <c r="E2314" s="14" t="s">
        <v>2</v>
      </c>
      <c r="F2314" s="12" t="s">
        <v>3</v>
      </c>
      <c r="G2314" s="15">
        <v>3</v>
      </c>
      <c r="H2314" s="12" t="s">
        <v>1076</v>
      </c>
      <c r="I2314" s="12" t="s">
        <v>1072</v>
      </c>
      <c r="K2314" s="16">
        <v>45.82</v>
      </c>
      <c r="L2314" s="16">
        <v>69.06</v>
      </c>
      <c r="M2314" s="16">
        <v>28.51</v>
      </c>
    </row>
    <row r="2315" spans="1:13" ht="33.75" outlineLevel="3" x14ac:dyDescent="0.2">
      <c r="B2315" s="4" t="str">
        <f t="shared" si="76"/>
        <v>0010690003</v>
      </c>
      <c r="C2315" s="5" t="str">
        <f>"047503"</f>
        <v>047503</v>
      </c>
      <c r="D2315" s="12" t="s">
        <v>1080</v>
      </c>
      <c r="E2315" s="14" t="s">
        <v>2</v>
      </c>
      <c r="F2315" s="12" t="s">
        <v>3</v>
      </c>
      <c r="G2315" s="15">
        <v>3</v>
      </c>
      <c r="H2315" s="12" t="s">
        <v>1076</v>
      </c>
      <c r="I2315" s="12" t="s">
        <v>355</v>
      </c>
      <c r="K2315" s="16">
        <v>18.86</v>
      </c>
      <c r="L2315" s="16">
        <v>29.02</v>
      </c>
      <c r="M2315" s="16">
        <v>28.51</v>
      </c>
    </row>
    <row r="2316" spans="1:13" ht="33.75" outlineLevel="3" x14ac:dyDescent="0.2">
      <c r="B2316" s="4" t="str">
        <f t="shared" si="76"/>
        <v>0010690003</v>
      </c>
      <c r="C2316" s="5" t="str">
        <f>"489032"</f>
        <v>489032</v>
      </c>
      <c r="D2316" s="12" t="s">
        <v>1079</v>
      </c>
      <c r="E2316" s="14" t="s">
        <v>2</v>
      </c>
      <c r="F2316" s="12" t="s">
        <v>3</v>
      </c>
      <c r="G2316" s="15">
        <v>3</v>
      </c>
      <c r="H2316" s="12" t="s">
        <v>1076</v>
      </c>
      <c r="I2316" s="12" t="s">
        <v>68</v>
      </c>
      <c r="K2316" s="16">
        <v>18.86</v>
      </c>
      <c r="L2316" s="16">
        <v>29.02</v>
      </c>
      <c r="M2316" s="16">
        <v>28.51</v>
      </c>
    </row>
    <row r="2317" spans="1:13" ht="33.75" outlineLevel="3" x14ac:dyDescent="0.2">
      <c r="B2317" s="4" t="str">
        <f t="shared" si="76"/>
        <v>0010690003</v>
      </c>
      <c r="C2317" s="5" t="str">
        <f>"520647"</f>
        <v>520647</v>
      </c>
      <c r="D2317" s="12" t="s">
        <v>1078</v>
      </c>
      <c r="E2317" s="14" t="s">
        <v>2</v>
      </c>
      <c r="F2317" s="12" t="s">
        <v>3</v>
      </c>
      <c r="G2317" s="15">
        <v>3</v>
      </c>
      <c r="H2317" s="12" t="s">
        <v>1076</v>
      </c>
      <c r="I2317" s="12" t="s">
        <v>5</v>
      </c>
      <c r="K2317" s="16">
        <v>18.86</v>
      </c>
      <c r="L2317" s="16">
        <v>29.02</v>
      </c>
      <c r="M2317" s="16">
        <v>28.51</v>
      </c>
    </row>
    <row r="2318" spans="1:13" ht="33.75" outlineLevel="3" x14ac:dyDescent="0.2">
      <c r="B2318" s="4" t="str">
        <f t="shared" si="76"/>
        <v>0010690003</v>
      </c>
      <c r="C2318" s="5" t="str">
        <f>"085122"</f>
        <v>085122</v>
      </c>
      <c r="D2318" s="12" t="s">
        <v>1077</v>
      </c>
      <c r="E2318" s="14" t="s">
        <v>2</v>
      </c>
      <c r="F2318" s="12" t="s">
        <v>3</v>
      </c>
      <c r="G2318" s="15">
        <v>3</v>
      </c>
      <c r="H2318" s="12" t="s">
        <v>1076</v>
      </c>
      <c r="I2318" s="12" t="s">
        <v>60</v>
      </c>
      <c r="K2318" s="16">
        <v>17.5</v>
      </c>
      <c r="L2318" s="16">
        <v>27.01</v>
      </c>
      <c r="M2318" s="16">
        <v>28.51</v>
      </c>
    </row>
    <row r="2319" spans="1:13" outlineLevel="2" x14ac:dyDescent="0.2"/>
    <row r="2320" spans="1:13" ht="33.75" outlineLevel="3" x14ac:dyDescent="0.2">
      <c r="B2320" s="4" t="str">
        <f>"0011680030"</f>
        <v>0011680030</v>
      </c>
      <c r="C2320" s="5" t="str">
        <f>"017238"</f>
        <v>017238</v>
      </c>
      <c r="D2320" s="12" t="s">
        <v>1154</v>
      </c>
      <c r="E2320" s="14" t="s">
        <v>106</v>
      </c>
      <c r="F2320" s="12" t="s">
        <v>3</v>
      </c>
      <c r="G2320" s="15">
        <v>28</v>
      </c>
      <c r="H2320" s="12" t="s">
        <v>1076</v>
      </c>
      <c r="I2320" s="12" t="s">
        <v>1072</v>
      </c>
      <c r="K2320" s="16">
        <v>140.66999999999999</v>
      </c>
      <c r="L2320" s="16">
        <v>195.14</v>
      </c>
      <c r="M2320" s="16">
        <v>107.35</v>
      </c>
    </row>
    <row r="2321" spans="1:13" ht="33.75" outlineLevel="3" x14ac:dyDescent="0.2">
      <c r="B2321" s="4" t="str">
        <f>"0011680030"</f>
        <v>0011680030</v>
      </c>
      <c r="C2321" s="5" t="str">
        <f>"199136"</f>
        <v>199136</v>
      </c>
      <c r="D2321" s="12" t="s">
        <v>1080</v>
      </c>
      <c r="E2321" s="14" t="s">
        <v>106</v>
      </c>
      <c r="F2321" s="12" t="s">
        <v>3</v>
      </c>
      <c r="G2321" s="15">
        <v>28</v>
      </c>
      <c r="H2321" s="12" t="s">
        <v>1076</v>
      </c>
      <c r="I2321" s="12" t="s">
        <v>355</v>
      </c>
      <c r="K2321" s="16">
        <v>72.180000000000007</v>
      </c>
      <c r="L2321" s="16">
        <v>105.35</v>
      </c>
      <c r="M2321" s="16">
        <v>107.35</v>
      </c>
    </row>
    <row r="2322" spans="1:13" ht="33.75" outlineLevel="3" x14ac:dyDescent="0.2">
      <c r="B2322" s="4" t="str">
        <f>"0011680030"</f>
        <v>0011680030</v>
      </c>
      <c r="C2322" s="5" t="str">
        <f>"414089"</f>
        <v>414089</v>
      </c>
      <c r="D2322" s="12" t="s">
        <v>1078</v>
      </c>
      <c r="E2322" s="14" t="s">
        <v>106</v>
      </c>
      <c r="F2322" s="12" t="s">
        <v>3</v>
      </c>
      <c r="G2322" s="15">
        <v>28</v>
      </c>
      <c r="H2322" s="12" t="s">
        <v>1076</v>
      </c>
      <c r="I2322" s="12" t="s">
        <v>5</v>
      </c>
      <c r="K2322" s="16">
        <v>72.180000000000007</v>
      </c>
      <c r="L2322" s="16">
        <v>105.35</v>
      </c>
      <c r="M2322" s="16">
        <v>107.35</v>
      </c>
    </row>
    <row r="2323" spans="1:13" ht="33.75" outlineLevel="3" x14ac:dyDescent="0.2">
      <c r="B2323" s="4" t="str">
        <f>"0011680030"</f>
        <v>0011680030</v>
      </c>
      <c r="C2323" s="5" t="str">
        <f>"466701"</f>
        <v>466701</v>
      </c>
      <c r="D2323" s="12" t="s">
        <v>1079</v>
      </c>
      <c r="E2323" s="14" t="s">
        <v>106</v>
      </c>
      <c r="F2323" s="12" t="s">
        <v>3</v>
      </c>
      <c r="G2323" s="15">
        <v>28</v>
      </c>
      <c r="H2323" s="12" t="s">
        <v>1076</v>
      </c>
      <c r="I2323" s="12" t="s">
        <v>68</v>
      </c>
      <c r="K2323" s="16">
        <v>72.180000000000007</v>
      </c>
      <c r="L2323" s="16">
        <v>105.35</v>
      </c>
      <c r="M2323" s="16">
        <v>107.35</v>
      </c>
    </row>
    <row r="2324" spans="1:13" outlineLevel="2" x14ac:dyDescent="0.2"/>
    <row r="2325" spans="1:13" ht="33.75" outlineLevel="3" x14ac:dyDescent="0.2">
      <c r="B2325" s="4" t="str">
        <f>"0011680084"</f>
        <v>0011680084</v>
      </c>
      <c r="C2325" s="5" t="str">
        <f>"454289"</f>
        <v>454289</v>
      </c>
      <c r="D2325" s="12" t="s">
        <v>1080</v>
      </c>
      <c r="E2325" s="14" t="s">
        <v>106</v>
      </c>
      <c r="F2325" s="12" t="s">
        <v>3</v>
      </c>
      <c r="G2325" s="15">
        <v>84</v>
      </c>
      <c r="H2325" s="12" t="s">
        <v>1076</v>
      </c>
      <c r="I2325" s="12" t="s">
        <v>355</v>
      </c>
      <c r="K2325" s="16">
        <v>383.99</v>
      </c>
      <c r="L2325" s="16">
        <v>502.94</v>
      </c>
      <c r="M2325" s="16">
        <v>504.94</v>
      </c>
    </row>
    <row r="2326" spans="1:13" outlineLevel="1" x14ac:dyDescent="0.2">
      <c r="A2326" s="3"/>
    </row>
    <row r="2327" spans="1:13" outlineLevel="2" x14ac:dyDescent="0.2">
      <c r="A2327" s="3" t="s">
        <v>1534</v>
      </c>
    </row>
    <row r="2328" spans="1:13" ht="33.75" outlineLevel="3" x14ac:dyDescent="0.2">
      <c r="B2328" s="4" t="str">
        <f>"0010170004"</f>
        <v>0010170004</v>
      </c>
      <c r="C2328" s="5" t="str">
        <f>"030036"</f>
        <v>030036</v>
      </c>
      <c r="D2328" s="12" t="s">
        <v>1035</v>
      </c>
      <c r="E2328" s="14" t="s">
        <v>1036</v>
      </c>
      <c r="F2328" s="12" t="s">
        <v>3</v>
      </c>
      <c r="G2328" s="15">
        <v>4</v>
      </c>
      <c r="H2328" s="12" t="s">
        <v>1037</v>
      </c>
      <c r="I2328" s="12" t="s">
        <v>298</v>
      </c>
      <c r="K2328" s="16">
        <v>15.35</v>
      </c>
      <c r="L2328" s="16">
        <v>23.8</v>
      </c>
      <c r="M2328" s="16">
        <v>25.3</v>
      </c>
    </row>
    <row r="2329" spans="1:13" outlineLevel="2" x14ac:dyDescent="0.2"/>
    <row r="2330" spans="1:13" ht="33.75" outlineLevel="3" x14ac:dyDescent="0.2">
      <c r="B2330" s="4" t="str">
        <f>"0010170012"</f>
        <v>0010170012</v>
      </c>
      <c r="C2330" s="5" t="str">
        <f>"010746"</f>
        <v>010746</v>
      </c>
      <c r="D2330" s="12" t="s">
        <v>1038</v>
      </c>
      <c r="E2330" s="14" t="s">
        <v>1036</v>
      </c>
      <c r="F2330" s="12" t="s">
        <v>3</v>
      </c>
      <c r="G2330" s="15">
        <v>12</v>
      </c>
      <c r="H2330" s="12" t="s">
        <v>1037</v>
      </c>
      <c r="I2330" s="12" t="s">
        <v>68</v>
      </c>
      <c r="K2330" s="16">
        <v>21.35</v>
      </c>
      <c r="L2330" s="16">
        <v>32.71</v>
      </c>
      <c r="M2330" s="16">
        <v>34.21</v>
      </c>
    </row>
    <row r="2331" spans="1:13" ht="33.75" outlineLevel="3" x14ac:dyDescent="0.2">
      <c r="B2331" s="4" t="str">
        <f>"0010170012"</f>
        <v>0010170012</v>
      </c>
      <c r="C2331" s="5" t="str">
        <f>"030047"</f>
        <v>030047</v>
      </c>
      <c r="D2331" s="12" t="s">
        <v>1035</v>
      </c>
      <c r="E2331" s="14" t="s">
        <v>1036</v>
      </c>
      <c r="F2331" s="12" t="s">
        <v>3</v>
      </c>
      <c r="G2331" s="15">
        <v>12</v>
      </c>
      <c r="H2331" s="12" t="s">
        <v>1037</v>
      </c>
      <c r="I2331" s="12" t="s">
        <v>298</v>
      </c>
      <c r="K2331" s="16">
        <v>21.35</v>
      </c>
      <c r="L2331" s="16">
        <v>32.71</v>
      </c>
      <c r="M2331" s="16">
        <v>34.21</v>
      </c>
    </row>
    <row r="2332" spans="1:13" ht="33.75" outlineLevel="3" x14ac:dyDescent="0.2">
      <c r="B2332" s="4" t="str">
        <f>"0010170012"</f>
        <v>0010170012</v>
      </c>
      <c r="C2332" s="5" t="str">
        <f>"157664"</f>
        <v>157664</v>
      </c>
      <c r="D2332" s="12" t="s">
        <v>1039</v>
      </c>
      <c r="E2332" s="14" t="s">
        <v>1036</v>
      </c>
      <c r="F2332" s="12" t="s">
        <v>3</v>
      </c>
      <c r="G2332" s="15">
        <v>12</v>
      </c>
      <c r="H2332" s="12" t="s">
        <v>1037</v>
      </c>
      <c r="I2332" s="12" t="s">
        <v>70</v>
      </c>
      <c r="K2332" s="16">
        <v>21.35</v>
      </c>
      <c r="L2332" s="16">
        <v>32.71</v>
      </c>
      <c r="M2332" s="16">
        <v>34.21</v>
      </c>
    </row>
    <row r="2333" spans="1:13" outlineLevel="3" x14ac:dyDescent="0.2"/>
    <row r="2334" spans="1:13" outlineLevel="2" x14ac:dyDescent="0.2">
      <c r="A2334" s="3" t="s">
        <v>1535</v>
      </c>
    </row>
    <row r="2335" spans="1:13" outlineLevel="3" x14ac:dyDescent="0.2">
      <c r="B2335" s="4" t="str">
        <f>"0015630100"</f>
        <v>0015630100</v>
      </c>
      <c r="C2335" s="5" t="str">
        <f>"173229"</f>
        <v>173229</v>
      </c>
      <c r="D2335" s="12" t="s">
        <v>1349</v>
      </c>
      <c r="E2335" s="14" t="s">
        <v>82</v>
      </c>
      <c r="F2335" s="12" t="s">
        <v>441</v>
      </c>
      <c r="G2335" s="15" t="s">
        <v>123</v>
      </c>
      <c r="H2335" s="12" t="s">
        <v>1350</v>
      </c>
      <c r="I2335" s="12" t="s">
        <v>846</v>
      </c>
      <c r="K2335" s="16">
        <v>6.16</v>
      </c>
      <c r="L2335" s="16">
        <v>9.82</v>
      </c>
      <c r="M2335" s="16">
        <v>11.32</v>
      </c>
    </row>
    <row r="2336" spans="1:13" outlineLevel="2" x14ac:dyDescent="0.2"/>
    <row r="2337" spans="1:13" outlineLevel="3" x14ac:dyDescent="0.2">
      <c r="B2337" s="4" t="str">
        <f>"0015640030"</f>
        <v>0015640030</v>
      </c>
      <c r="C2337" s="5" t="str">
        <f>"172676"</f>
        <v>172676</v>
      </c>
      <c r="D2337" s="12" t="s">
        <v>1349</v>
      </c>
      <c r="E2337" s="14" t="s">
        <v>118</v>
      </c>
      <c r="F2337" s="12" t="s">
        <v>441</v>
      </c>
      <c r="G2337" s="15">
        <v>30</v>
      </c>
      <c r="H2337" s="12" t="s">
        <v>1350</v>
      </c>
      <c r="I2337" s="12" t="s">
        <v>846</v>
      </c>
      <c r="K2337" s="16">
        <v>16.14</v>
      </c>
      <c r="L2337" s="16">
        <v>24.98</v>
      </c>
      <c r="M2337" s="16">
        <v>26.48</v>
      </c>
    </row>
    <row r="2338" spans="1:13" outlineLevel="2" x14ac:dyDescent="0.2"/>
    <row r="2339" spans="1:13" outlineLevel="3" x14ac:dyDescent="0.2">
      <c r="B2339" s="4" t="str">
        <f>"0015640100"</f>
        <v>0015640100</v>
      </c>
      <c r="C2339" s="5" t="str">
        <f>"172841"</f>
        <v>172841</v>
      </c>
      <c r="D2339" s="12" t="s">
        <v>1349</v>
      </c>
      <c r="E2339" s="14" t="s">
        <v>118</v>
      </c>
      <c r="F2339" s="12" t="s">
        <v>441</v>
      </c>
      <c r="G2339" s="15" t="s">
        <v>123</v>
      </c>
      <c r="H2339" s="12" t="s">
        <v>1350</v>
      </c>
      <c r="I2339" s="12" t="s">
        <v>846</v>
      </c>
      <c r="K2339" s="16">
        <v>55.37</v>
      </c>
      <c r="L2339" s="16">
        <v>82.23</v>
      </c>
      <c r="M2339" s="16">
        <v>84.23</v>
      </c>
    </row>
    <row r="2340" spans="1:13" outlineLevel="2" x14ac:dyDescent="0.2"/>
    <row r="2341" spans="1:13" outlineLevel="3" x14ac:dyDescent="0.2">
      <c r="B2341" s="4" t="str">
        <f>"0015660030"</f>
        <v>0015660030</v>
      </c>
      <c r="C2341" s="5" t="str">
        <f>"173807"</f>
        <v>173807</v>
      </c>
      <c r="D2341" s="12" t="s">
        <v>1349</v>
      </c>
      <c r="E2341" s="14" t="s">
        <v>31</v>
      </c>
      <c r="F2341" s="12" t="s">
        <v>441</v>
      </c>
      <c r="G2341" s="15">
        <v>30</v>
      </c>
      <c r="H2341" s="12" t="s">
        <v>1350</v>
      </c>
      <c r="I2341" s="12" t="s">
        <v>846</v>
      </c>
      <c r="K2341" s="16">
        <v>5.53</v>
      </c>
      <c r="L2341" s="16">
        <v>8.82</v>
      </c>
      <c r="M2341" s="16">
        <v>10.32</v>
      </c>
    </row>
    <row r="2342" spans="1:13" outlineLevel="2" x14ac:dyDescent="0.2"/>
    <row r="2343" spans="1:13" outlineLevel="3" x14ac:dyDescent="0.2">
      <c r="B2343" s="4" t="str">
        <f>"0015660100"</f>
        <v>0015660100</v>
      </c>
      <c r="C2343" s="5" t="str">
        <f>"173906"</f>
        <v>173906</v>
      </c>
      <c r="D2343" s="12" t="s">
        <v>1349</v>
      </c>
      <c r="E2343" s="14" t="s">
        <v>31</v>
      </c>
      <c r="F2343" s="12" t="s">
        <v>441</v>
      </c>
      <c r="G2343" s="15" t="s">
        <v>123</v>
      </c>
      <c r="H2343" s="12" t="s">
        <v>1350</v>
      </c>
      <c r="I2343" s="12" t="s">
        <v>846</v>
      </c>
      <c r="K2343" s="16">
        <v>16.62</v>
      </c>
      <c r="L2343" s="16">
        <v>25.7</v>
      </c>
      <c r="M2343" s="16">
        <v>27.2</v>
      </c>
    </row>
    <row r="2344" spans="1:13" outlineLevel="2" x14ac:dyDescent="0.2"/>
    <row r="2345" spans="1:13" outlineLevel="3" x14ac:dyDescent="0.2">
      <c r="B2345" s="4" t="str">
        <f>"0015670030"</f>
        <v>0015670030</v>
      </c>
      <c r="C2345" s="5" t="str">
        <f>"173997"</f>
        <v>173997</v>
      </c>
      <c r="D2345" s="12" t="s">
        <v>1349</v>
      </c>
      <c r="E2345" s="14" t="s">
        <v>605</v>
      </c>
      <c r="F2345" s="12" t="s">
        <v>441</v>
      </c>
      <c r="G2345" s="15">
        <v>30</v>
      </c>
      <c r="H2345" s="12" t="s">
        <v>1350</v>
      </c>
      <c r="I2345" s="12" t="s">
        <v>846</v>
      </c>
      <c r="K2345" s="16">
        <v>11.07</v>
      </c>
      <c r="L2345" s="16">
        <v>17.45</v>
      </c>
      <c r="M2345" s="16">
        <v>18.95</v>
      </c>
    </row>
    <row r="2346" spans="1:13" outlineLevel="2" x14ac:dyDescent="0.2"/>
    <row r="2347" spans="1:13" outlineLevel="3" x14ac:dyDescent="0.2">
      <c r="B2347" s="4" t="str">
        <f>"0015670100"</f>
        <v>0015670100</v>
      </c>
      <c r="C2347" s="5" t="str">
        <f>"174706"</f>
        <v>174706</v>
      </c>
      <c r="D2347" s="12" t="s">
        <v>1349</v>
      </c>
      <c r="E2347" s="14" t="s">
        <v>605</v>
      </c>
      <c r="F2347" s="12" t="s">
        <v>441</v>
      </c>
      <c r="G2347" s="15" t="s">
        <v>123</v>
      </c>
      <c r="H2347" s="12" t="s">
        <v>1350</v>
      </c>
      <c r="I2347" s="12" t="s">
        <v>846</v>
      </c>
      <c r="K2347" s="16">
        <v>33.22</v>
      </c>
      <c r="L2347" s="16">
        <v>50.35</v>
      </c>
      <c r="M2347" s="16">
        <v>52.35</v>
      </c>
    </row>
    <row r="2348" spans="1:13" outlineLevel="1" x14ac:dyDescent="0.2">
      <c r="A2348" s="3"/>
    </row>
    <row r="2349" spans="1:13" outlineLevel="2" x14ac:dyDescent="0.2">
      <c r="A2349" s="3" t="s">
        <v>1536</v>
      </c>
    </row>
    <row r="2350" spans="1:13" outlineLevel="3" x14ac:dyDescent="0.2">
      <c r="B2350" s="4" t="str">
        <f>"0015520030"</f>
        <v>0015520030</v>
      </c>
      <c r="C2350" s="5" t="str">
        <f>"550510"</f>
        <v>550510</v>
      </c>
      <c r="D2350" s="12" t="s">
        <v>1341</v>
      </c>
      <c r="E2350" s="14" t="s">
        <v>111</v>
      </c>
      <c r="F2350" s="12" t="s">
        <v>441</v>
      </c>
      <c r="G2350" s="15">
        <v>28</v>
      </c>
      <c r="H2350" s="12" t="s">
        <v>1342</v>
      </c>
      <c r="I2350" s="12" t="s">
        <v>28</v>
      </c>
      <c r="J2350" s="2" t="s">
        <v>1400</v>
      </c>
      <c r="K2350" s="16" t="s">
        <v>1401</v>
      </c>
      <c r="L2350" s="16" t="s">
        <v>1401</v>
      </c>
      <c r="M2350" s="16">
        <v>7.07</v>
      </c>
    </row>
    <row r="2351" spans="1:13" ht="22.5" outlineLevel="3" x14ac:dyDescent="0.2">
      <c r="B2351" s="4" t="str">
        <f>"0015520030"</f>
        <v>0015520030</v>
      </c>
      <c r="C2351" s="5" t="str">
        <f>"593790"</f>
        <v>593790</v>
      </c>
      <c r="D2351" s="12" t="s">
        <v>1346</v>
      </c>
      <c r="E2351" s="14" t="s">
        <v>111</v>
      </c>
      <c r="F2351" s="12" t="s">
        <v>441</v>
      </c>
      <c r="G2351" s="15">
        <v>30</v>
      </c>
      <c r="H2351" s="12" t="s">
        <v>1342</v>
      </c>
      <c r="I2351" s="12" t="s">
        <v>79</v>
      </c>
      <c r="K2351" s="16">
        <v>3.73</v>
      </c>
      <c r="L2351" s="16">
        <v>5.95</v>
      </c>
      <c r="M2351" s="16">
        <v>7.07</v>
      </c>
    </row>
    <row r="2352" spans="1:13" outlineLevel="3" x14ac:dyDescent="0.2">
      <c r="B2352" s="4" t="str">
        <f>"0015520030"</f>
        <v>0015520030</v>
      </c>
      <c r="C2352" s="5" t="str">
        <f>"009385"</f>
        <v>009385</v>
      </c>
      <c r="D2352" s="12" t="s">
        <v>1343</v>
      </c>
      <c r="E2352" s="14" t="s">
        <v>111</v>
      </c>
      <c r="F2352" s="12" t="s">
        <v>441</v>
      </c>
      <c r="G2352" s="15">
        <v>28</v>
      </c>
      <c r="H2352" s="12" t="s">
        <v>1342</v>
      </c>
      <c r="I2352" s="12" t="s">
        <v>1344</v>
      </c>
      <c r="K2352" s="16">
        <v>3.49</v>
      </c>
      <c r="L2352" s="16">
        <v>5.57</v>
      </c>
      <c r="M2352" s="16">
        <v>7.07</v>
      </c>
    </row>
    <row r="2353" spans="2:13" outlineLevel="3" x14ac:dyDescent="0.2">
      <c r="B2353" s="4" t="str">
        <f>"0015520030"</f>
        <v>0015520030</v>
      </c>
      <c r="C2353" s="5" t="str">
        <f>"563918"</f>
        <v>563918</v>
      </c>
      <c r="D2353" s="12" t="s">
        <v>1345</v>
      </c>
      <c r="E2353" s="14" t="s">
        <v>111</v>
      </c>
      <c r="F2353" s="12" t="s">
        <v>441</v>
      </c>
      <c r="G2353" s="15">
        <v>28</v>
      </c>
      <c r="H2353" s="12" t="s">
        <v>1342</v>
      </c>
      <c r="I2353" s="12" t="s">
        <v>5</v>
      </c>
      <c r="K2353" s="16">
        <v>3.49</v>
      </c>
      <c r="L2353" s="16">
        <v>5.57</v>
      </c>
      <c r="M2353" s="16">
        <v>7.07</v>
      </c>
    </row>
    <row r="2354" spans="2:13" outlineLevel="2" x14ac:dyDescent="0.2"/>
    <row r="2355" spans="2:13" outlineLevel="3" x14ac:dyDescent="0.2">
      <c r="B2355" s="4" t="str">
        <f>"0015530030"</f>
        <v>0015530030</v>
      </c>
      <c r="C2355" s="5" t="str">
        <f>"025895"</f>
        <v>025895</v>
      </c>
      <c r="D2355" s="12" t="s">
        <v>1345</v>
      </c>
      <c r="E2355" s="14" t="s">
        <v>82</v>
      </c>
      <c r="F2355" s="12" t="s">
        <v>441</v>
      </c>
      <c r="G2355" s="15">
        <v>28</v>
      </c>
      <c r="H2355" s="12" t="s">
        <v>1342</v>
      </c>
      <c r="I2355" s="12" t="s">
        <v>5</v>
      </c>
      <c r="K2355" s="16">
        <v>6.33</v>
      </c>
      <c r="L2355" s="16">
        <v>10.1</v>
      </c>
      <c r="M2355" s="16">
        <v>9.7200000000000006</v>
      </c>
    </row>
    <row r="2356" spans="2:13" outlineLevel="3" x14ac:dyDescent="0.2">
      <c r="B2356" s="4" t="str">
        <f>"0015530030"</f>
        <v>0015530030</v>
      </c>
      <c r="C2356" s="5" t="str">
        <f>"586792"</f>
        <v>586792</v>
      </c>
      <c r="D2356" s="12" t="s">
        <v>1343</v>
      </c>
      <c r="E2356" s="14" t="s">
        <v>82</v>
      </c>
      <c r="F2356" s="12" t="s">
        <v>441</v>
      </c>
      <c r="G2356" s="15">
        <v>28</v>
      </c>
      <c r="H2356" s="12" t="s">
        <v>1342</v>
      </c>
      <c r="I2356" s="12" t="s">
        <v>1344</v>
      </c>
      <c r="K2356" s="16">
        <v>6.33</v>
      </c>
      <c r="L2356" s="16">
        <v>10.1</v>
      </c>
      <c r="M2356" s="16">
        <v>9.7200000000000006</v>
      </c>
    </row>
    <row r="2357" spans="2:13" ht="22.5" outlineLevel="3" x14ac:dyDescent="0.2">
      <c r="B2357" s="4" t="str">
        <f>"0015530030"</f>
        <v>0015530030</v>
      </c>
      <c r="C2357" s="5" t="str">
        <f>"039623"</f>
        <v>039623</v>
      </c>
      <c r="D2357" s="12" t="s">
        <v>1346</v>
      </c>
      <c r="E2357" s="14" t="s">
        <v>82</v>
      </c>
      <c r="F2357" s="12" t="s">
        <v>441</v>
      </c>
      <c r="G2357" s="15">
        <v>30</v>
      </c>
      <c r="H2357" s="12" t="s">
        <v>1342</v>
      </c>
      <c r="I2357" s="12" t="s">
        <v>79</v>
      </c>
      <c r="K2357" s="16">
        <v>5.15</v>
      </c>
      <c r="L2357" s="16">
        <v>8.2200000000000006</v>
      </c>
      <c r="M2357" s="16">
        <v>9.7200000000000006</v>
      </c>
    </row>
    <row r="2358" spans="2:13" outlineLevel="2" x14ac:dyDescent="0.2"/>
    <row r="2359" spans="2:13" outlineLevel="3" x14ac:dyDescent="0.2">
      <c r="B2359" s="4" t="str">
        <f>"0015530100"</f>
        <v>0015530100</v>
      </c>
      <c r="C2359" s="5" t="str">
        <f>"147529"</f>
        <v>147529</v>
      </c>
      <c r="D2359" s="12" t="s">
        <v>1341</v>
      </c>
      <c r="E2359" s="14" t="s">
        <v>82</v>
      </c>
      <c r="F2359" s="12" t="s">
        <v>441</v>
      </c>
      <c r="G2359" s="15">
        <v>98</v>
      </c>
      <c r="H2359" s="12" t="s">
        <v>1342</v>
      </c>
      <c r="I2359" s="12" t="s">
        <v>28</v>
      </c>
      <c r="J2359" s="2" t="s">
        <v>1400</v>
      </c>
      <c r="K2359" s="16" t="s">
        <v>1401</v>
      </c>
      <c r="L2359" s="16" t="s">
        <v>1401</v>
      </c>
      <c r="M2359" s="16">
        <v>16.48</v>
      </c>
    </row>
    <row r="2360" spans="2:13" outlineLevel="3" x14ac:dyDescent="0.2">
      <c r="B2360" s="4" t="str">
        <f>"0015530100"</f>
        <v>0015530100</v>
      </c>
      <c r="C2360" s="5" t="str">
        <f>"025906"</f>
        <v>025906</v>
      </c>
      <c r="D2360" s="12" t="s">
        <v>1345</v>
      </c>
      <c r="E2360" s="14" t="s">
        <v>82</v>
      </c>
      <c r="F2360" s="12" t="s">
        <v>441</v>
      </c>
      <c r="G2360" s="15">
        <v>98</v>
      </c>
      <c r="H2360" s="12" t="s">
        <v>1342</v>
      </c>
      <c r="I2360" s="12" t="s">
        <v>5</v>
      </c>
      <c r="K2360" s="16">
        <v>11.83</v>
      </c>
      <c r="L2360" s="16">
        <v>18.579999999999998</v>
      </c>
      <c r="M2360" s="16">
        <v>16.48</v>
      </c>
    </row>
    <row r="2361" spans="2:13" outlineLevel="3" x14ac:dyDescent="0.2">
      <c r="B2361" s="4" t="str">
        <f>"0015530100"</f>
        <v>0015530100</v>
      </c>
      <c r="C2361" s="5" t="str">
        <f>"586800"</f>
        <v>586800</v>
      </c>
      <c r="D2361" s="12" t="s">
        <v>1343</v>
      </c>
      <c r="E2361" s="14" t="s">
        <v>82</v>
      </c>
      <c r="F2361" s="12" t="s">
        <v>441</v>
      </c>
      <c r="G2361" s="15">
        <v>98</v>
      </c>
      <c r="H2361" s="12" t="s">
        <v>1342</v>
      </c>
      <c r="I2361" s="12" t="s">
        <v>1344</v>
      </c>
      <c r="K2361" s="16">
        <v>11.82</v>
      </c>
      <c r="L2361" s="16">
        <v>18.57</v>
      </c>
      <c r="M2361" s="16">
        <v>16.48</v>
      </c>
    </row>
    <row r="2362" spans="2:13" ht="22.5" outlineLevel="3" x14ac:dyDescent="0.2">
      <c r="B2362" s="4" t="str">
        <f>"0015530100"</f>
        <v>0015530100</v>
      </c>
      <c r="C2362" s="5" t="str">
        <f>"189244"</f>
        <v>189244</v>
      </c>
      <c r="D2362" s="12" t="s">
        <v>1346</v>
      </c>
      <c r="E2362" s="14" t="s">
        <v>82</v>
      </c>
      <c r="F2362" s="12" t="s">
        <v>441</v>
      </c>
      <c r="G2362" s="15">
        <v>100</v>
      </c>
      <c r="H2362" s="12" t="s">
        <v>1342</v>
      </c>
      <c r="I2362" s="12" t="s">
        <v>79</v>
      </c>
      <c r="K2362" s="16">
        <v>9.41</v>
      </c>
      <c r="L2362" s="16">
        <v>14.98</v>
      </c>
      <c r="M2362" s="16">
        <v>16.48</v>
      </c>
    </row>
    <row r="2363" spans="2:13" outlineLevel="3" x14ac:dyDescent="0.2">
      <c r="B2363" s="4" t="str">
        <f>"0015550030"</f>
        <v>0015550030</v>
      </c>
      <c r="C2363" s="5" t="str">
        <f>"109569"</f>
        <v>109569</v>
      </c>
      <c r="D2363" s="12" t="s">
        <v>1345</v>
      </c>
      <c r="E2363" s="14" t="s">
        <v>14</v>
      </c>
      <c r="F2363" s="12" t="s">
        <v>441</v>
      </c>
      <c r="G2363" s="15">
        <v>28</v>
      </c>
      <c r="H2363" s="12" t="s">
        <v>1342</v>
      </c>
      <c r="I2363" s="12" t="s">
        <v>5</v>
      </c>
      <c r="K2363" s="16">
        <v>10.84</v>
      </c>
      <c r="L2363" s="16">
        <v>17.11</v>
      </c>
      <c r="M2363" s="16">
        <v>14.98</v>
      </c>
    </row>
    <row r="2364" spans="2:13" outlineLevel="3" x14ac:dyDescent="0.2">
      <c r="B2364" s="4" t="str">
        <f>"0015550030"</f>
        <v>0015550030</v>
      </c>
      <c r="C2364" s="5" t="str">
        <f>"586818"</f>
        <v>586818</v>
      </c>
      <c r="D2364" s="12" t="s">
        <v>1343</v>
      </c>
      <c r="E2364" s="14" t="s">
        <v>14</v>
      </c>
      <c r="F2364" s="12" t="s">
        <v>441</v>
      </c>
      <c r="G2364" s="15">
        <v>28</v>
      </c>
      <c r="H2364" s="12" t="s">
        <v>1342</v>
      </c>
      <c r="I2364" s="12" t="s">
        <v>1344</v>
      </c>
      <c r="K2364" s="16">
        <v>10.84</v>
      </c>
      <c r="L2364" s="16">
        <v>17.11</v>
      </c>
      <c r="M2364" s="16">
        <v>14.98</v>
      </c>
    </row>
    <row r="2365" spans="2:13" ht="22.5" outlineLevel="3" x14ac:dyDescent="0.2">
      <c r="B2365" s="4" t="str">
        <f>"0015550030"</f>
        <v>0015550030</v>
      </c>
      <c r="C2365" s="5" t="str">
        <f>"149786"</f>
        <v>149786</v>
      </c>
      <c r="D2365" s="12" t="s">
        <v>1346</v>
      </c>
      <c r="E2365" s="14" t="s">
        <v>14</v>
      </c>
      <c r="F2365" s="12" t="s">
        <v>441</v>
      </c>
      <c r="G2365" s="15">
        <v>30</v>
      </c>
      <c r="H2365" s="12" t="s">
        <v>1342</v>
      </c>
      <c r="I2365" s="12" t="s">
        <v>79</v>
      </c>
      <c r="K2365" s="16">
        <v>8.4499999999999993</v>
      </c>
      <c r="L2365" s="16">
        <v>13.48</v>
      </c>
      <c r="M2365" s="16">
        <v>14.98</v>
      </c>
    </row>
    <row r="2366" spans="2:13" outlineLevel="2" x14ac:dyDescent="0.2"/>
    <row r="2367" spans="2:13" outlineLevel="3" x14ac:dyDescent="0.2">
      <c r="B2367" s="4" t="str">
        <f>"0015550100"</f>
        <v>0015550100</v>
      </c>
      <c r="C2367" s="5" t="str">
        <f>"533229"</f>
        <v>533229</v>
      </c>
      <c r="D2367" s="12" t="s">
        <v>1341</v>
      </c>
      <c r="E2367" s="14" t="s">
        <v>14</v>
      </c>
      <c r="F2367" s="12" t="s">
        <v>441</v>
      </c>
      <c r="G2367" s="15">
        <v>98</v>
      </c>
      <c r="H2367" s="12" t="s">
        <v>1342</v>
      </c>
      <c r="I2367" s="12" t="s">
        <v>28</v>
      </c>
      <c r="J2367" s="2" t="s">
        <v>1400</v>
      </c>
      <c r="K2367" s="16" t="s">
        <v>1401</v>
      </c>
      <c r="L2367" s="16" t="s">
        <v>1401</v>
      </c>
      <c r="M2367" s="16">
        <v>29.91</v>
      </c>
    </row>
    <row r="2368" spans="2:13" outlineLevel="3" x14ac:dyDescent="0.2">
      <c r="B2368" s="4" t="str">
        <f>"0015550100"</f>
        <v>0015550100</v>
      </c>
      <c r="C2368" s="5" t="str">
        <f>"109578"</f>
        <v>109578</v>
      </c>
      <c r="D2368" s="12" t="s">
        <v>1345</v>
      </c>
      <c r="E2368" s="14" t="s">
        <v>14</v>
      </c>
      <c r="F2368" s="12" t="s">
        <v>441</v>
      </c>
      <c r="G2368" s="15">
        <v>98</v>
      </c>
      <c r="H2368" s="12" t="s">
        <v>1342</v>
      </c>
      <c r="I2368" s="12" t="s">
        <v>5</v>
      </c>
      <c r="K2368" s="16">
        <v>22.06</v>
      </c>
      <c r="L2368" s="16">
        <v>33.770000000000003</v>
      </c>
      <c r="M2368" s="16">
        <v>29.91</v>
      </c>
    </row>
    <row r="2369" spans="2:13" outlineLevel="3" x14ac:dyDescent="0.2">
      <c r="B2369" s="4" t="str">
        <f>"0015550100"</f>
        <v>0015550100</v>
      </c>
      <c r="C2369" s="5" t="str">
        <f>"586933"</f>
        <v>586933</v>
      </c>
      <c r="D2369" s="12" t="s">
        <v>1343</v>
      </c>
      <c r="E2369" s="14" t="s">
        <v>14</v>
      </c>
      <c r="F2369" s="12" t="s">
        <v>441</v>
      </c>
      <c r="G2369" s="15">
        <v>98</v>
      </c>
      <c r="H2369" s="12" t="s">
        <v>1342</v>
      </c>
      <c r="I2369" s="12" t="s">
        <v>1344</v>
      </c>
      <c r="K2369" s="16">
        <v>22.06</v>
      </c>
      <c r="L2369" s="16">
        <v>33.770000000000003</v>
      </c>
      <c r="M2369" s="16">
        <v>29.91</v>
      </c>
    </row>
    <row r="2370" spans="2:13" ht="22.5" outlineLevel="3" x14ac:dyDescent="0.2">
      <c r="B2370" s="4" t="str">
        <f>"0015550100"</f>
        <v>0015550100</v>
      </c>
      <c r="C2370" s="5" t="str">
        <f>"378571"</f>
        <v>378571</v>
      </c>
      <c r="D2370" s="12" t="s">
        <v>1346</v>
      </c>
      <c r="E2370" s="14" t="s">
        <v>14</v>
      </c>
      <c r="F2370" s="12" t="s">
        <v>441</v>
      </c>
      <c r="G2370" s="15">
        <v>100</v>
      </c>
      <c r="H2370" s="12" t="s">
        <v>1342</v>
      </c>
      <c r="I2370" s="12" t="s">
        <v>79</v>
      </c>
      <c r="K2370" s="16">
        <v>18.45</v>
      </c>
      <c r="L2370" s="16">
        <v>28.41</v>
      </c>
      <c r="M2370" s="16">
        <v>29.91</v>
      </c>
    </row>
    <row r="2371" spans="2:13" outlineLevel="2" x14ac:dyDescent="0.2"/>
    <row r="2372" spans="2:13" outlineLevel="3" x14ac:dyDescent="0.2">
      <c r="B2372" s="4" t="str">
        <f>"0015570030"</f>
        <v>0015570030</v>
      </c>
      <c r="C2372" s="5" t="str">
        <f>"109588"</f>
        <v>109588</v>
      </c>
      <c r="D2372" s="12" t="s">
        <v>1345</v>
      </c>
      <c r="E2372" s="14" t="s">
        <v>98</v>
      </c>
      <c r="F2372" s="12" t="s">
        <v>441</v>
      </c>
      <c r="G2372" s="15">
        <v>28</v>
      </c>
      <c r="H2372" s="12" t="s">
        <v>1342</v>
      </c>
      <c r="I2372" s="12" t="s">
        <v>5</v>
      </c>
      <c r="K2372" s="16">
        <v>17.04</v>
      </c>
      <c r="L2372" s="16">
        <v>26.31</v>
      </c>
      <c r="M2372" s="16">
        <v>23.52</v>
      </c>
    </row>
    <row r="2373" spans="2:13" outlineLevel="3" x14ac:dyDescent="0.2">
      <c r="B2373" s="4" t="str">
        <f>"0015570030"</f>
        <v>0015570030</v>
      </c>
      <c r="C2373" s="5" t="str">
        <f>"586966"</f>
        <v>586966</v>
      </c>
      <c r="D2373" s="12" t="s">
        <v>1343</v>
      </c>
      <c r="E2373" s="14" t="s">
        <v>98</v>
      </c>
      <c r="F2373" s="12" t="s">
        <v>441</v>
      </c>
      <c r="G2373" s="15">
        <v>28</v>
      </c>
      <c r="H2373" s="12" t="s">
        <v>1342</v>
      </c>
      <c r="I2373" s="12" t="s">
        <v>1344</v>
      </c>
      <c r="K2373" s="16">
        <v>17.04</v>
      </c>
      <c r="L2373" s="16">
        <v>26.31</v>
      </c>
      <c r="M2373" s="16">
        <v>23.52</v>
      </c>
    </row>
    <row r="2374" spans="2:13" ht="22.5" outlineLevel="3" x14ac:dyDescent="0.2">
      <c r="B2374" s="4" t="str">
        <f>"0015570030"</f>
        <v>0015570030</v>
      </c>
      <c r="C2374" s="5" t="str">
        <f>"114826"</f>
        <v>114826</v>
      </c>
      <c r="D2374" s="12" t="s">
        <v>1346</v>
      </c>
      <c r="E2374" s="14" t="s">
        <v>98</v>
      </c>
      <c r="F2374" s="12" t="s">
        <v>441</v>
      </c>
      <c r="G2374" s="15">
        <v>30</v>
      </c>
      <c r="H2374" s="12" t="s">
        <v>1342</v>
      </c>
      <c r="I2374" s="12" t="s">
        <v>79</v>
      </c>
      <c r="K2374" s="16">
        <v>14.15</v>
      </c>
      <c r="L2374" s="16">
        <v>22.02</v>
      </c>
      <c r="M2374" s="16">
        <v>23.52</v>
      </c>
    </row>
    <row r="2375" spans="2:13" outlineLevel="2" x14ac:dyDescent="0.2"/>
    <row r="2376" spans="2:13" outlineLevel="3" x14ac:dyDescent="0.2">
      <c r="B2376" s="4" t="str">
        <f>"0015570100"</f>
        <v>0015570100</v>
      </c>
      <c r="C2376" s="5" t="str">
        <f>"586982"</f>
        <v>586982</v>
      </c>
      <c r="D2376" s="12" t="s">
        <v>1343</v>
      </c>
      <c r="E2376" s="14" t="s">
        <v>98</v>
      </c>
      <c r="F2376" s="12" t="s">
        <v>441</v>
      </c>
      <c r="G2376" s="15">
        <v>98</v>
      </c>
      <c r="H2376" s="12" t="s">
        <v>1342</v>
      </c>
      <c r="I2376" s="12" t="s">
        <v>1344</v>
      </c>
      <c r="K2376" s="16">
        <v>62.45</v>
      </c>
      <c r="L2376" s="16">
        <v>91.96</v>
      </c>
      <c r="M2376" s="16">
        <v>82.65</v>
      </c>
    </row>
    <row r="2377" spans="2:13" outlineLevel="3" x14ac:dyDescent="0.2">
      <c r="B2377" s="4" t="str">
        <f>"0015570100"</f>
        <v>0015570100</v>
      </c>
      <c r="C2377" s="5" t="str">
        <f>"109597"</f>
        <v>109597</v>
      </c>
      <c r="D2377" s="12" t="s">
        <v>1345</v>
      </c>
      <c r="E2377" s="14" t="s">
        <v>98</v>
      </c>
      <c r="F2377" s="12" t="s">
        <v>441</v>
      </c>
      <c r="G2377" s="15">
        <v>98</v>
      </c>
      <c r="H2377" s="12" t="s">
        <v>1342</v>
      </c>
      <c r="I2377" s="12" t="s">
        <v>5</v>
      </c>
      <c r="K2377" s="16">
        <v>59.9</v>
      </c>
      <c r="L2377" s="16">
        <v>88.46</v>
      </c>
      <c r="M2377" s="16">
        <v>82.65</v>
      </c>
    </row>
    <row r="2378" spans="2:13" ht="22.5" outlineLevel="3" x14ac:dyDescent="0.2">
      <c r="B2378" s="4" t="str">
        <f>"0015570100"</f>
        <v>0015570100</v>
      </c>
      <c r="C2378" s="5" t="str">
        <f>"159817"</f>
        <v>159817</v>
      </c>
      <c r="D2378" s="12" t="s">
        <v>1346</v>
      </c>
      <c r="E2378" s="14" t="s">
        <v>98</v>
      </c>
      <c r="F2378" s="12" t="s">
        <v>441</v>
      </c>
      <c r="G2378" s="15">
        <v>100</v>
      </c>
      <c r="H2378" s="12" t="s">
        <v>1342</v>
      </c>
      <c r="I2378" s="12" t="s">
        <v>79</v>
      </c>
      <c r="K2378" s="16">
        <v>54.22</v>
      </c>
      <c r="L2378" s="16">
        <v>80.650000000000006</v>
      </c>
      <c r="M2378" s="16">
        <v>82.65</v>
      </c>
    </row>
    <row r="2379" spans="2:13" outlineLevel="2" x14ac:dyDescent="0.2"/>
    <row r="2380" spans="2:13" outlineLevel="3" x14ac:dyDescent="0.2">
      <c r="B2380" s="4" t="str">
        <f>"0015590030"</f>
        <v>0015590030</v>
      </c>
      <c r="C2380" s="5" t="str">
        <f>"587071"</f>
        <v>587071</v>
      </c>
      <c r="D2380" s="12" t="s">
        <v>1343</v>
      </c>
      <c r="E2380" s="14" t="s">
        <v>116</v>
      </c>
      <c r="F2380" s="12" t="s">
        <v>441</v>
      </c>
      <c r="G2380" s="15">
        <v>28</v>
      </c>
      <c r="H2380" s="12" t="s">
        <v>1342</v>
      </c>
      <c r="I2380" s="12" t="s">
        <v>1344</v>
      </c>
      <c r="K2380" s="16">
        <v>39.57</v>
      </c>
      <c r="L2380" s="16">
        <v>59.77</v>
      </c>
      <c r="M2380" s="16">
        <v>55.3</v>
      </c>
    </row>
    <row r="2381" spans="2:13" ht="22.5" outlineLevel="3" x14ac:dyDescent="0.2">
      <c r="B2381" s="4" t="str">
        <f>"0015590030"</f>
        <v>0015590030</v>
      </c>
      <c r="C2381" s="5" t="str">
        <f>"074164"</f>
        <v>074164</v>
      </c>
      <c r="D2381" s="12" t="s">
        <v>1346</v>
      </c>
      <c r="E2381" s="14" t="s">
        <v>116</v>
      </c>
      <c r="F2381" s="12" t="s">
        <v>441</v>
      </c>
      <c r="G2381" s="15">
        <v>30</v>
      </c>
      <c r="H2381" s="12" t="s">
        <v>1342</v>
      </c>
      <c r="I2381" s="12" t="s">
        <v>79</v>
      </c>
      <c r="K2381" s="16">
        <v>35.21</v>
      </c>
      <c r="L2381" s="16">
        <v>53.3</v>
      </c>
      <c r="M2381" s="16">
        <v>55.3</v>
      </c>
    </row>
    <row r="2382" spans="2:13" outlineLevel="2" x14ac:dyDescent="0.2"/>
    <row r="2383" spans="2:13" outlineLevel="3" x14ac:dyDescent="0.2">
      <c r="B2383" s="4" t="str">
        <f>"0015590100"</f>
        <v>0015590100</v>
      </c>
      <c r="C2383" s="5" t="str">
        <f>"109615"</f>
        <v>109615</v>
      </c>
      <c r="D2383" s="12" t="s">
        <v>1345</v>
      </c>
      <c r="E2383" s="14" t="s">
        <v>116</v>
      </c>
      <c r="F2383" s="12" t="s">
        <v>441</v>
      </c>
      <c r="G2383" s="15">
        <v>98</v>
      </c>
      <c r="H2383" s="12" t="s">
        <v>1342</v>
      </c>
      <c r="I2383" s="12" t="s">
        <v>5</v>
      </c>
      <c r="K2383" s="16">
        <v>119.8</v>
      </c>
      <c r="L2383" s="16">
        <v>168.74</v>
      </c>
      <c r="M2383" s="16">
        <v>164.82</v>
      </c>
    </row>
    <row r="2384" spans="2:13" outlineLevel="3" x14ac:dyDescent="0.2">
      <c r="B2384" s="4" t="str">
        <f>"0015590100"</f>
        <v>0015590100</v>
      </c>
      <c r="C2384" s="5" t="str">
        <f>"587113"</f>
        <v>587113</v>
      </c>
      <c r="D2384" s="12" t="s">
        <v>1343</v>
      </c>
      <c r="E2384" s="14" t="s">
        <v>116</v>
      </c>
      <c r="F2384" s="12" t="s">
        <v>441</v>
      </c>
      <c r="G2384" s="15">
        <v>98</v>
      </c>
      <c r="H2384" s="12" t="s">
        <v>1342</v>
      </c>
      <c r="I2384" s="12" t="s">
        <v>1344</v>
      </c>
      <c r="K2384" s="16">
        <v>119.8</v>
      </c>
      <c r="L2384" s="16">
        <v>168.74</v>
      </c>
      <c r="M2384" s="16">
        <v>164.82</v>
      </c>
    </row>
    <row r="2385" spans="2:13" ht="22.5" outlineLevel="3" x14ac:dyDescent="0.2">
      <c r="B2385" s="4" t="str">
        <f>"0015590100"</f>
        <v>0015590100</v>
      </c>
      <c r="C2385" s="5" t="str">
        <f>"165835"</f>
        <v>165835</v>
      </c>
      <c r="D2385" s="12" t="s">
        <v>1346</v>
      </c>
      <c r="E2385" s="14" t="s">
        <v>116</v>
      </c>
      <c r="F2385" s="12" t="s">
        <v>441</v>
      </c>
      <c r="G2385" s="15">
        <v>100</v>
      </c>
      <c r="H2385" s="12" t="s">
        <v>1342</v>
      </c>
      <c r="I2385" s="12" t="s">
        <v>79</v>
      </c>
      <c r="K2385" s="16">
        <v>115.12</v>
      </c>
      <c r="L2385" s="16">
        <v>162.82</v>
      </c>
      <c r="M2385" s="16">
        <v>164.82</v>
      </c>
    </row>
    <row r="2386" spans="2:13" outlineLevel="2" x14ac:dyDescent="0.2"/>
    <row r="2387" spans="2:13" outlineLevel="3" x14ac:dyDescent="0.2">
      <c r="B2387" s="4" t="str">
        <f>"0015600030"</f>
        <v>0015600030</v>
      </c>
      <c r="C2387" s="5" t="str">
        <f>"004795"</f>
        <v>004795</v>
      </c>
      <c r="D2387" s="12" t="s">
        <v>1347</v>
      </c>
      <c r="E2387" s="14" t="s">
        <v>111</v>
      </c>
      <c r="F2387" s="12" t="s">
        <v>216</v>
      </c>
      <c r="G2387" s="15">
        <v>28</v>
      </c>
      <c r="H2387" s="12" t="s">
        <v>1342</v>
      </c>
      <c r="I2387" s="12" t="s">
        <v>1344</v>
      </c>
      <c r="K2387" s="16">
        <v>2.09</v>
      </c>
      <c r="L2387" s="16">
        <v>3.33</v>
      </c>
      <c r="M2387" s="16">
        <v>4.83</v>
      </c>
    </row>
    <row r="2388" spans="2:13" outlineLevel="3" x14ac:dyDescent="0.2">
      <c r="B2388" s="4" t="str">
        <f>"0015600030"</f>
        <v>0015600030</v>
      </c>
      <c r="C2388" s="5" t="str">
        <f>"566544"</f>
        <v>566544</v>
      </c>
      <c r="D2388" s="12" t="s">
        <v>1348</v>
      </c>
      <c r="E2388" s="14" t="s">
        <v>111</v>
      </c>
      <c r="F2388" s="12" t="s">
        <v>216</v>
      </c>
      <c r="G2388" s="15">
        <v>28</v>
      </c>
      <c r="H2388" s="12" t="s">
        <v>1342</v>
      </c>
      <c r="I2388" s="12" t="s">
        <v>5</v>
      </c>
      <c r="K2388" s="16">
        <v>2.09</v>
      </c>
      <c r="L2388" s="16">
        <v>3.33</v>
      </c>
      <c r="M2388" s="16">
        <v>4.83</v>
      </c>
    </row>
    <row r="2389" spans="2:13" outlineLevel="2" x14ac:dyDescent="0.2"/>
    <row r="2390" spans="2:13" outlineLevel="3" x14ac:dyDescent="0.2">
      <c r="B2390" s="4" t="str">
        <f>"0015600100"</f>
        <v>0015600100</v>
      </c>
      <c r="C2390" s="5" t="str">
        <f>"006263"</f>
        <v>006263</v>
      </c>
      <c r="D2390" s="12" t="s">
        <v>1347</v>
      </c>
      <c r="E2390" s="14" t="s">
        <v>111</v>
      </c>
      <c r="F2390" s="12" t="s">
        <v>216</v>
      </c>
      <c r="G2390" s="15">
        <v>98</v>
      </c>
      <c r="H2390" s="12" t="s">
        <v>1342</v>
      </c>
      <c r="I2390" s="12" t="s">
        <v>1344</v>
      </c>
      <c r="K2390" s="16">
        <v>6.96</v>
      </c>
      <c r="L2390" s="16">
        <v>11.1</v>
      </c>
      <c r="M2390" s="16">
        <v>12.6</v>
      </c>
    </row>
    <row r="2391" spans="2:13" outlineLevel="3" x14ac:dyDescent="0.2">
      <c r="B2391" s="4" t="str">
        <f>"0015600100"</f>
        <v>0015600100</v>
      </c>
      <c r="C2391" s="5" t="str">
        <f>"051388"</f>
        <v>051388</v>
      </c>
      <c r="D2391" s="12" t="s">
        <v>1348</v>
      </c>
      <c r="E2391" s="14" t="s">
        <v>111</v>
      </c>
      <c r="F2391" s="12" t="s">
        <v>216</v>
      </c>
      <c r="G2391" s="15">
        <v>98</v>
      </c>
      <c r="H2391" s="12" t="s">
        <v>1342</v>
      </c>
      <c r="I2391" s="12" t="s">
        <v>5</v>
      </c>
      <c r="K2391" s="16">
        <v>6.96</v>
      </c>
      <c r="L2391" s="16">
        <v>11.1</v>
      </c>
      <c r="M2391" s="16">
        <v>12.6</v>
      </c>
    </row>
    <row r="2392" spans="2:13" outlineLevel="2" x14ac:dyDescent="0.2"/>
    <row r="2393" spans="2:13" outlineLevel="3" x14ac:dyDescent="0.2">
      <c r="B2393" s="4" t="str">
        <f>"0015610030"</f>
        <v>0015610030</v>
      </c>
      <c r="C2393" s="5" t="str">
        <f>"005068"</f>
        <v>005068</v>
      </c>
      <c r="D2393" s="12" t="s">
        <v>1347</v>
      </c>
      <c r="E2393" s="14" t="s">
        <v>82</v>
      </c>
      <c r="F2393" s="12" t="s">
        <v>216</v>
      </c>
      <c r="G2393" s="15">
        <v>28</v>
      </c>
      <c r="H2393" s="12" t="s">
        <v>1342</v>
      </c>
      <c r="I2393" s="12" t="s">
        <v>1344</v>
      </c>
      <c r="K2393" s="16">
        <v>6.33</v>
      </c>
      <c r="L2393" s="16">
        <v>10.1</v>
      </c>
      <c r="M2393" s="16">
        <v>7.56</v>
      </c>
    </row>
    <row r="2394" spans="2:13" outlineLevel="3" x14ac:dyDescent="0.2">
      <c r="B2394" s="4" t="str">
        <f>"0015610030"</f>
        <v>0015610030</v>
      </c>
      <c r="C2394" s="5" t="str">
        <f>"070158"</f>
        <v>070158</v>
      </c>
      <c r="D2394" s="12" t="s">
        <v>1348</v>
      </c>
      <c r="E2394" s="14" t="s">
        <v>82</v>
      </c>
      <c r="F2394" s="12" t="s">
        <v>216</v>
      </c>
      <c r="G2394" s="15">
        <v>28</v>
      </c>
      <c r="H2394" s="12" t="s">
        <v>1342</v>
      </c>
      <c r="I2394" s="12" t="s">
        <v>5</v>
      </c>
      <c r="K2394" s="16">
        <v>3.8</v>
      </c>
      <c r="L2394" s="16">
        <v>6.06</v>
      </c>
      <c r="M2394" s="16">
        <v>7.56</v>
      </c>
    </row>
    <row r="2395" spans="2:13" outlineLevel="2" x14ac:dyDescent="0.2"/>
    <row r="2396" spans="2:13" outlineLevel="3" x14ac:dyDescent="0.2">
      <c r="B2396" s="4" t="str">
        <f>"0015610100"</f>
        <v>0015610100</v>
      </c>
      <c r="C2396" s="5" t="str">
        <f>"006244"</f>
        <v>006244</v>
      </c>
      <c r="D2396" s="12" t="s">
        <v>1347</v>
      </c>
      <c r="E2396" s="14" t="s">
        <v>82</v>
      </c>
      <c r="F2396" s="12" t="s">
        <v>216</v>
      </c>
      <c r="G2396" s="15">
        <v>98</v>
      </c>
      <c r="H2396" s="12" t="s">
        <v>1342</v>
      </c>
      <c r="I2396" s="12" t="s">
        <v>1344</v>
      </c>
      <c r="K2396" s="16">
        <v>12.58</v>
      </c>
      <c r="L2396" s="16">
        <v>19.690000000000001</v>
      </c>
      <c r="M2396" s="16">
        <v>21.19</v>
      </c>
    </row>
    <row r="2397" spans="2:13" outlineLevel="3" x14ac:dyDescent="0.2">
      <c r="B2397" s="4" t="str">
        <f>"0015610100"</f>
        <v>0015610100</v>
      </c>
      <c r="C2397" s="5" t="str">
        <f>"152656"</f>
        <v>152656</v>
      </c>
      <c r="D2397" s="12" t="s">
        <v>1348</v>
      </c>
      <c r="E2397" s="14" t="s">
        <v>82</v>
      </c>
      <c r="F2397" s="12" t="s">
        <v>216</v>
      </c>
      <c r="G2397" s="15">
        <v>98</v>
      </c>
      <c r="H2397" s="12" t="s">
        <v>1342</v>
      </c>
      <c r="I2397" s="12" t="s">
        <v>5</v>
      </c>
      <c r="K2397" s="16">
        <v>12.58</v>
      </c>
      <c r="L2397" s="16">
        <v>19.690000000000001</v>
      </c>
      <c r="M2397" s="16">
        <v>21.19</v>
      </c>
    </row>
    <row r="2398" spans="2:13" outlineLevel="2" x14ac:dyDescent="0.2"/>
    <row r="2399" spans="2:13" outlineLevel="3" x14ac:dyDescent="0.2">
      <c r="B2399" s="4" t="str">
        <f>"0015620030"</f>
        <v>0015620030</v>
      </c>
      <c r="C2399" s="5" t="str">
        <f>"005088"</f>
        <v>005088</v>
      </c>
      <c r="D2399" s="12" t="s">
        <v>1347</v>
      </c>
      <c r="E2399" s="14" t="s">
        <v>14</v>
      </c>
      <c r="F2399" s="12" t="s">
        <v>216</v>
      </c>
      <c r="G2399" s="15">
        <v>28</v>
      </c>
      <c r="H2399" s="12" t="s">
        <v>1342</v>
      </c>
      <c r="I2399" s="12" t="s">
        <v>1344</v>
      </c>
      <c r="K2399" s="16">
        <v>7.23</v>
      </c>
      <c r="L2399" s="16">
        <v>11.53</v>
      </c>
      <c r="M2399" s="16">
        <v>13.03</v>
      </c>
    </row>
    <row r="2400" spans="2:13" outlineLevel="3" x14ac:dyDescent="0.2">
      <c r="B2400" s="4" t="str">
        <f>"0015620030"</f>
        <v>0015620030</v>
      </c>
      <c r="C2400" s="5" t="str">
        <f>"186159"</f>
        <v>186159</v>
      </c>
      <c r="D2400" s="12" t="s">
        <v>1348</v>
      </c>
      <c r="E2400" s="14" t="s">
        <v>14</v>
      </c>
      <c r="F2400" s="12" t="s">
        <v>216</v>
      </c>
      <c r="G2400" s="15">
        <v>28</v>
      </c>
      <c r="H2400" s="12" t="s">
        <v>1342</v>
      </c>
      <c r="I2400" s="12" t="s">
        <v>5</v>
      </c>
      <c r="K2400" s="16">
        <v>7.23</v>
      </c>
      <c r="L2400" s="16">
        <v>11.53</v>
      </c>
      <c r="M2400" s="16">
        <v>13.03</v>
      </c>
    </row>
    <row r="2401" spans="1:13" outlineLevel="3" x14ac:dyDescent="0.2">
      <c r="B2401" s="4" t="str">
        <f>"0015620100"</f>
        <v>0015620100</v>
      </c>
      <c r="C2401" s="5" t="str">
        <f>"006255"</f>
        <v>006255</v>
      </c>
      <c r="D2401" s="12" t="s">
        <v>1347</v>
      </c>
      <c r="E2401" s="14" t="s">
        <v>14</v>
      </c>
      <c r="F2401" s="12" t="s">
        <v>216</v>
      </c>
      <c r="G2401" s="15">
        <v>98</v>
      </c>
      <c r="H2401" s="12" t="s">
        <v>1342</v>
      </c>
      <c r="I2401" s="12" t="s">
        <v>1344</v>
      </c>
      <c r="K2401" s="16">
        <v>23.91</v>
      </c>
      <c r="L2401" s="16">
        <v>36.520000000000003</v>
      </c>
      <c r="M2401" s="16">
        <v>38.020000000000003</v>
      </c>
    </row>
    <row r="2402" spans="1:13" outlineLevel="3" x14ac:dyDescent="0.2">
      <c r="B2402" s="4" t="str">
        <f>"0015620100"</f>
        <v>0015620100</v>
      </c>
      <c r="C2402" s="5" t="str">
        <f>"594776"</f>
        <v>594776</v>
      </c>
      <c r="D2402" s="12" t="s">
        <v>1348</v>
      </c>
      <c r="E2402" s="14" t="s">
        <v>14</v>
      </c>
      <c r="F2402" s="12" t="s">
        <v>216</v>
      </c>
      <c r="G2402" s="15">
        <v>98</v>
      </c>
      <c r="H2402" s="12" t="s">
        <v>1342</v>
      </c>
      <c r="I2402" s="12" t="s">
        <v>5</v>
      </c>
      <c r="K2402" s="16">
        <v>23.91</v>
      </c>
      <c r="L2402" s="16">
        <v>36.520000000000003</v>
      </c>
      <c r="M2402" s="16">
        <v>38.020000000000003</v>
      </c>
    </row>
    <row r="2403" spans="1:13" outlineLevel="1" x14ac:dyDescent="0.2">
      <c r="A2403" s="3"/>
    </row>
    <row r="2404" spans="1:13" outlineLevel="2" x14ac:dyDescent="0.2">
      <c r="A2404" s="3" t="s">
        <v>1537</v>
      </c>
    </row>
    <row r="2405" spans="1:13" ht="22.5" outlineLevel="3" x14ac:dyDescent="0.2">
      <c r="B2405" s="4" t="str">
        <f>"0003200010"</f>
        <v>0003200010</v>
      </c>
      <c r="C2405" s="5" t="str">
        <f>"019467"</f>
        <v>019467</v>
      </c>
      <c r="D2405" s="12" t="s">
        <v>404</v>
      </c>
      <c r="E2405" s="14" t="s">
        <v>405</v>
      </c>
      <c r="F2405" s="12" t="s">
        <v>73</v>
      </c>
      <c r="G2405" s="15">
        <v>10</v>
      </c>
      <c r="H2405" s="12" t="s">
        <v>406</v>
      </c>
      <c r="I2405" s="12" t="s">
        <v>64</v>
      </c>
      <c r="K2405" s="16">
        <v>1.92</v>
      </c>
      <c r="L2405" s="16">
        <v>3.06</v>
      </c>
      <c r="M2405" s="16">
        <v>4.5599999999999996</v>
      </c>
    </row>
    <row r="2406" spans="1:13" outlineLevel="2" x14ac:dyDescent="0.2"/>
    <row r="2407" spans="1:13" ht="22.5" outlineLevel="3" x14ac:dyDescent="0.2">
      <c r="B2407" s="4" t="str">
        <f>"0003200020"</f>
        <v>0003200020</v>
      </c>
      <c r="C2407" s="5" t="str">
        <f>"425959"</f>
        <v>425959</v>
      </c>
      <c r="D2407" s="12" t="s">
        <v>409</v>
      </c>
      <c r="F2407" s="12" t="s">
        <v>73</v>
      </c>
      <c r="G2407" s="15">
        <v>20</v>
      </c>
      <c r="H2407" s="12" t="s">
        <v>406</v>
      </c>
      <c r="I2407" s="12" t="s">
        <v>187</v>
      </c>
      <c r="K2407" s="16">
        <v>3.85</v>
      </c>
      <c r="L2407" s="16">
        <v>6.14</v>
      </c>
      <c r="M2407" s="16">
        <v>4.9000000000000004</v>
      </c>
    </row>
    <row r="2408" spans="1:13" ht="22.5" outlineLevel="3" x14ac:dyDescent="0.2">
      <c r="B2408" s="4" t="str">
        <f>"0003200020"</f>
        <v>0003200020</v>
      </c>
      <c r="C2408" s="5" t="str">
        <f>"020381"</f>
        <v>020381</v>
      </c>
      <c r="D2408" s="12" t="s">
        <v>404</v>
      </c>
      <c r="E2408" s="14" t="s">
        <v>405</v>
      </c>
      <c r="F2408" s="12" t="s">
        <v>73</v>
      </c>
      <c r="G2408" s="15">
        <v>20</v>
      </c>
      <c r="H2408" s="12" t="s">
        <v>406</v>
      </c>
      <c r="I2408" s="12" t="s">
        <v>64</v>
      </c>
      <c r="K2408" s="16">
        <v>3.2</v>
      </c>
      <c r="L2408" s="16">
        <v>5.0999999999999996</v>
      </c>
      <c r="M2408" s="16">
        <v>4.9000000000000004</v>
      </c>
    </row>
    <row r="2409" spans="1:13" ht="22.5" outlineLevel="3" x14ac:dyDescent="0.2">
      <c r="B2409" s="4" t="str">
        <f>"0003200020"</f>
        <v>0003200020</v>
      </c>
      <c r="C2409" s="5" t="str">
        <f>"566006"</f>
        <v>566006</v>
      </c>
      <c r="D2409" s="12" t="s">
        <v>410</v>
      </c>
      <c r="E2409" s="14" t="s">
        <v>405</v>
      </c>
      <c r="F2409" s="12" t="s">
        <v>73</v>
      </c>
      <c r="G2409" s="15">
        <v>20</v>
      </c>
      <c r="H2409" s="12" t="s">
        <v>406</v>
      </c>
      <c r="I2409" s="12" t="s">
        <v>58</v>
      </c>
      <c r="K2409" s="16">
        <v>3.1</v>
      </c>
      <c r="L2409" s="16">
        <v>4.95</v>
      </c>
      <c r="M2409" s="16">
        <v>4.9000000000000004</v>
      </c>
    </row>
    <row r="2410" spans="1:13" ht="22.5" outlineLevel="3" x14ac:dyDescent="0.2">
      <c r="B2410" s="4" t="str">
        <f>"0003200020"</f>
        <v>0003200020</v>
      </c>
      <c r="C2410" s="5" t="str">
        <f>"144229"</f>
        <v>144229</v>
      </c>
      <c r="D2410" s="12" t="s">
        <v>407</v>
      </c>
      <c r="E2410" s="14" t="s">
        <v>405</v>
      </c>
      <c r="F2410" s="12" t="s">
        <v>73</v>
      </c>
      <c r="G2410" s="15">
        <v>20</v>
      </c>
      <c r="H2410" s="12" t="s">
        <v>406</v>
      </c>
      <c r="I2410" s="12" t="s">
        <v>408</v>
      </c>
      <c r="K2410" s="16">
        <v>2.13</v>
      </c>
      <c r="L2410" s="16">
        <v>3.4</v>
      </c>
      <c r="M2410" s="16">
        <v>4.9000000000000004</v>
      </c>
    </row>
    <row r="2411" spans="1:13" outlineLevel="2" x14ac:dyDescent="0.2"/>
    <row r="2412" spans="1:13" ht="22.5" outlineLevel="3" x14ac:dyDescent="0.2">
      <c r="B2412" s="4" t="str">
        <f>"0003200030"</f>
        <v>0003200030</v>
      </c>
      <c r="C2412" s="5" t="str">
        <f>"019114"</f>
        <v>019114</v>
      </c>
      <c r="D2412" s="12" t="s">
        <v>404</v>
      </c>
      <c r="E2412" s="14" t="s">
        <v>405</v>
      </c>
      <c r="F2412" s="12" t="s">
        <v>73</v>
      </c>
      <c r="G2412" s="15">
        <v>30</v>
      </c>
      <c r="H2412" s="12" t="s">
        <v>406</v>
      </c>
      <c r="I2412" s="12" t="s">
        <v>64</v>
      </c>
      <c r="K2412" s="16">
        <v>4.5</v>
      </c>
      <c r="L2412" s="16">
        <v>7.18</v>
      </c>
      <c r="M2412" s="16">
        <v>8.68</v>
      </c>
    </row>
    <row r="2413" spans="1:13" outlineLevel="2" x14ac:dyDescent="0.2"/>
    <row r="2414" spans="1:13" ht="22.5" outlineLevel="3" x14ac:dyDescent="0.2">
      <c r="B2414" s="4" t="str">
        <f>"0003200050"</f>
        <v>0003200050</v>
      </c>
      <c r="C2414" s="5" t="str">
        <f>"425967"</f>
        <v>425967</v>
      </c>
      <c r="D2414" s="12" t="s">
        <v>409</v>
      </c>
      <c r="F2414" s="12" t="s">
        <v>73</v>
      </c>
      <c r="G2414" s="15">
        <v>50</v>
      </c>
      <c r="H2414" s="12" t="s">
        <v>406</v>
      </c>
      <c r="I2414" s="12" t="s">
        <v>187</v>
      </c>
      <c r="K2414" s="16">
        <v>5.33</v>
      </c>
      <c r="L2414" s="16">
        <v>8.5</v>
      </c>
      <c r="M2414" s="16">
        <v>7.37</v>
      </c>
    </row>
    <row r="2415" spans="1:13" ht="22.5" outlineLevel="3" x14ac:dyDescent="0.2">
      <c r="B2415" s="4" t="str">
        <f>"0003200050"</f>
        <v>0003200050</v>
      </c>
      <c r="C2415" s="5" t="str">
        <f>"020392"</f>
        <v>020392</v>
      </c>
      <c r="D2415" s="12" t="s">
        <v>404</v>
      </c>
      <c r="E2415" s="14" t="s">
        <v>405</v>
      </c>
      <c r="F2415" s="12" t="s">
        <v>73</v>
      </c>
      <c r="G2415" s="15">
        <v>50</v>
      </c>
      <c r="H2415" s="12" t="s">
        <v>406</v>
      </c>
      <c r="I2415" s="12" t="s">
        <v>64</v>
      </c>
      <c r="K2415" s="16">
        <v>4.75</v>
      </c>
      <c r="L2415" s="16">
        <v>7.58</v>
      </c>
      <c r="M2415" s="16">
        <v>7.37</v>
      </c>
    </row>
    <row r="2416" spans="1:13" ht="22.5" outlineLevel="3" x14ac:dyDescent="0.2">
      <c r="B2416" s="4" t="str">
        <f>"0003200050"</f>
        <v>0003200050</v>
      </c>
      <c r="C2416" s="5" t="str">
        <f>"110663"</f>
        <v>110663</v>
      </c>
      <c r="D2416" s="12" t="s">
        <v>410</v>
      </c>
      <c r="E2416" s="14" t="s">
        <v>405</v>
      </c>
      <c r="F2416" s="12" t="s">
        <v>73</v>
      </c>
      <c r="G2416" s="15">
        <v>50</v>
      </c>
      <c r="H2416" s="12" t="s">
        <v>406</v>
      </c>
      <c r="I2416" s="12" t="s">
        <v>58</v>
      </c>
      <c r="K2416" s="16">
        <v>4.6500000000000004</v>
      </c>
      <c r="L2416" s="16">
        <v>7.41</v>
      </c>
      <c r="M2416" s="16">
        <v>7.37</v>
      </c>
    </row>
    <row r="2417" spans="1:13" ht="22.5" outlineLevel="3" x14ac:dyDescent="0.2">
      <c r="B2417" s="4" t="str">
        <f>"0003200050"</f>
        <v>0003200050</v>
      </c>
      <c r="C2417" s="5" t="str">
        <f>"086840"</f>
        <v>086840</v>
      </c>
      <c r="D2417" s="12" t="s">
        <v>407</v>
      </c>
      <c r="E2417" s="14" t="s">
        <v>405</v>
      </c>
      <c r="F2417" s="12" t="s">
        <v>73</v>
      </c>
      <c r="G2417" s="15">
        <v>50</v>
      </c>
      <c r="H2417" s="12" t="s">
        <v>406</v>
      </c>
      <c r="I2417" s="12" t="s">
        <v>408</v>
      </c>
      <c r="K2417" s="16">
        <v>3.68</v>
      </c>
      <c r="L2417" s="16">
        <v>5.87</v>
      </c>
      <c r="M2417" s="16">
        <v>7.37</v>
      </c>
    </row>
    <row r="2418" spans="1:13" outlineLevel="2" x14ac:dyDescent="0.2"/>
    <row r="2419" spans="1:13" ht="22.5" outlineLevel="3" x14ac:dyDescent="0.2">
      <c r="B2419" s="4" t="str">
        <f>"0003200100"</f>
        <v>0003200100</v>
      </c>
      <c r="C2419" s="5" t="str">
        <f>"425975"</f>
        <v>425975</v>
      </c>
      <c r="D2419" s="12" t="s">
        <v>409</v>
      </c>
      <c r="F2419" s="12" t="s">
        <v>73</v>
      </c>
      <c r="G2419" s="15">
        <v>100</v>
      </c>
      <c r="H2419" s="12" t="s">
        <v>406</v>
      </c>
      <c r="I2419" s="12" t="s">
        <v>187</v>
      </c>
      <c r="K2419" s="16">
        <v>8.94</v>
      </c>
      <c r="L2419" s="16">
        <v>14.26</v>
      </c>
      <c r="M2419" s="16">
        <v>11.46</v>
      </c>
    </row>
    <row r="2420" spans="1:13" ht="22.5" outlineLevel="3" x14ac:dyDescent="0.2">
      <c r="B2420" s="4" t="str">
        <f>"0003200100"</f>
        <v>0003200100</v>
      </c>
      <c r="C2420" s="5" t="str">
        <f>"019258"</f>
        <v>019258</v>
      </c>
      <c r="D2420" s="12" t="s">
        <v>404</v>
      </c>
      <c r="E2420" s="14" t="s">
        <v>405</v>
      </c>
      <c r="F2420" s="12" t="s">
        <v>73</v>
      </c>
      <c r="G2420" s="15">
        <v>100</v>
      </c>
      <c r="H2420" s="12" t="s">
        <v>406</v>
      </c>
      <c r="I2420" s="12" t="s">
        <v>64</v>
      </c>
      <c r="K2420" s="16">
        <v>7.95</v>
      </c>
      <c r="L2420" s="16">
        <v>12.68</v>
      </c>
      <c r="M2420" s="16">
        <v>11.46</v>
      </c>
    </row>
    <row r="2421" spans="1:13" ht="22.5" outlineLevel="3" x14ac:dyDescent="0.2">
      <c r="B2421" s="4" t="str">
        <f>"0003200100"</f>
        <v>0003200100</v>
      </c>
      <c r="C2421" s="5" t="str">
        <f>"555115"</f>
        <v>555115</v>
      </c>
      <c r="D2421" s="12" t="s">
        <v>410</v>
      </c>
      <c r="E2421" s="14" t="s">
        <v>405</v>
      </c>
      <c r="F2421" s="12" t="s">
        <v>73</v>
      </c>
      <c r="G2421" s="15">
        <v>100</v>
      </c>
      <c r="H2421" s="12" t="s">
        <v>406</v>
      </c>
      <c r="I2421" s="12" t="s">
        <v>58</v>
      </c>
      <c r="K2421" s="16">
        <v>7.9</v>
      </c>
      <c r="L2421" s="16">
        <v>12.61</v>
      </c>
      <c r="M2421" s="16">
        <v>11.46</v>
      </c>
    </row>
    <row r="2422" spans="1:13" ht="22.5" outlineLevel="3" x14ac:dyDescent="0.2">
      <c r="B2422" s="4" t="str">
        <f>"0003200100"</f>
        <v>0003200100</v>
      </c>
      <c r="C2422" s="5" t="str">
        <f>"064181"</f>
        <v>064181</v>
      </c>
      <c r="D2422" s="12" t="s">
        <v>407</v>
      </c>
      <c r="E2422" s="14" t="s">
        <v>405</v>
      </c>
      <c r="F2422" s="12" t="s">
        <v>73</v>
      </c>
      <c r="G2422" s="15">
        <v>100</v>
      </c>
      <c r="H2422" s="12" t="s">
        <v>406</v>
      </c>
      <c r="I2422" s="12" t="s">
        <v>408</v>
      </c>
      <c r="K2422" s="16">
        <v>6.24</v>
      </c>
      <c r="L2422" s="16">
        <v>9.9600000000000009</v>
      </c>
      <c r="M2422" s="16">
        <v>11.46</v>
      </c>
    </row>
    <row r="2423" spans="1:13" outlineLevel="1" x14ac:dyDescent="0.2">
      <c r="A2423" s="3"/>
    </row>
    <row r="2424" spans="1:13" outlineLevel="2" x14ac:dyDescent="0.2">
      <c r="A2424" s="3" t="s">
        <v>1538</v>
      </c>
    </row>
    <row r="2425" spans="1:13" ht="33.75" outlineLevel="3" x14ac:dyDescent="0.2">
      <c r="B2425" s="4" t="str">
        <f>"0016750005"</f>
        <v>0016750005</v>
      </c>
      <c r="C2425" s="5" t="str">
        <f>"084250"</f>
        <v>084250</v>
      </c>
      <c r="D2425" s="12" t="s">
        <v>1389</v>
      </c>
      <c r="E2425" s="14" t="s">
        <v>1390</v>
      </c>
      <c r="F2425" s="12" t="s">
        <v>1386</v>
      </c>
      <c r="G2425" s="15">
        <v>5</v>
      </c>
      <c r="H2425" s="12" t="s">
        <v>1391</v>
      </c>
      <c r="I2425" s="12" t="s">
        <v>70</v>
      </c>
      <c r="J2425" s="2" t="s">
        <v>1400</v>
      </c>
      <c r="K2425" s="16">
        <v>36.200000000000003</v>
      </c>
      <c r="L2425" s="16">
        <v>54.77</v>
      </c>
      <c r="M2425" s="16">
        <v>53.5</v>
      </c>
    </row>
    <row r="2426" spans="1:13" ht="33.75" outlineLevel="3" x14ac:dyDescent="0.2">
      <c r="B2426" s="4" t="str">
        <f>"0016750005"</f>
        <v>0016750005</v>
      </c>
      <c r="C2426" s="5" t="str">
        <f>"019167"</f>
        <v>019167</v>
      </c>
      <c r="D2426" s="12" t="s">
        <v>1392</v>
      </c>
      <c r="E2426" s="14" t="s">
        <v>1390</v>
      </c>
      <c r="F2426" s="12" t="s">
        <v>1386</v>
      </c>
      <c r="G2426" s="15">
        <v>5</v>
      </c>
      <c r="H2426" s="12" t="s">
        <v>1391</v>
      </c>
      <c r="I2426" s="12" t="s">
        <v>980</v>
      </c>
      <c r="K2426" s="16">
        <v>36.200000000000003</v>
      </c>
      <c r="L2426" s="16">
        <v>54.77</v>
      </c>
      <c r="M2426" s="16">
        <v>53.5</v>
      </c>
    </row>
    <row r="2427" spans="1:13" ht="33.75" outlineLevel="3" x14ac:dyDescent="0.2">
      <c r="B2427" s="4" t="str">
        <f>"0016750005"</f>
        <v>0016750005</v>
      </c>
      <c r="C2427" s="5" t="str">
        <f>"055824"</f>
        <v>055824</v>
      </c>
      <c r="D2427" s="12" t="s">
        <v>1393</v>
      </c>
      <c r="E2427" s="14" t="s">
        <v>1390</v>
      </c>
      <c r="F2427" s="12" t="s">
        <v>1386</v>
      </c>
      <c r="G2427" s="15">
        <v>5</v>
      </c>
      <c r="H2427" s="12" t="s">
        <v>1391</v>
      </c>
      <c r="I2427" s="12" t="s">
        <v>39</v>
      </c>
      <c r="K2427" s="16">
        <v>36.200000000000003</v>
      </c>
      <c r="L2427" s="16">
        <v>54.77</v>
      </c>
      <c r="M2427" s="16">
        <v>53.5</v>
      </c>
    </row>
    <row r="2428" spans="1:13" ht="33.75" outlineLevel="3" x14ac:dyDescent="0.2">
      <c r="B2428" s="4" t="str">
        <f>"0016750005"</f>
        <v>0016750005</v>
      </c>
      <c r="C2428" s="5" t="str">
        <f>"060141"</f>
        <v>060141</v>
      </c>
      <c r="D2428" s="12" t="s">
        <v>1394</v>
      </c>
      <c r="E2428" s="14" t="s">
        <v>1390</v>
      </c>
      <c r="F2428" s="12" t="s">
        <v>1386</v>
      </c>
      <c r="G2428" s="15">
        <v>5</v>
      </c>
      <c r="H2428" s="12" t="s">
        <v>1391</v>
      </c>
      <c r="I2428" s="12" t="s">
        <v>5</v>
      </c>
      <c r="K2428" s="16">
        <v>36.200000000000003</v>
      </c>
      <c r="L2428" s="16">
        <v>54.77</v>
      </c>
      <c r="M2428" s="16">
        <v>53.5</v>
      </c>
    </row>
    <row r="2429" spans="1:13" ht="33.75" outlineLevel="3" x14ac:dyDescent="0.2">
      <c r="B2429" s="4" t="str">
        <f>"0016750005"</f>
        <v>0016750005</v>
      </c>
      <c r="C2429" s="5" t="str">
        <f>"069162"</f>
        <v>069162</v>
      </c>
      <c r="D2429" s="12" t="s">
        <v>1395</v>
      </c>
      <c r="E2429" s="14" t="s">
        <v>1390</v>
      </c>
      <c r="F2429" s="12" t="s">
        <v>1386</v>
      </c>
      <c r="G2429" s="15">
        <v>5</v>
      </c>
      <c r="H2429" s="12" t="s">
        <v>1391</v>
      </c>
      <c r="I2429" s="12" t="s">
        <v>60</v>
      </c>
      <c r="K2429" s="16">
        <v>34</v>
      </c>
      <c r="L2429" s="16">
        <v>51.5</v>
      </c>
      <c r="M2429" s="16">
        <v>53.5</v>
      </c>
    </row>
    <row r="2430" spans="1:13" outlineLevel="2" x14ac:dyDescent="0.2"/>
    <row r="2431" spans="1:13" ht="33.75" outlineLevel="3" x14ac:dyDescent="0.2">
      <c r="B2431" s="4" t="str">
        <f>"0016760005"</f>
        <v>0016760005</v>
      </c>
      <c r="C2431" s="5" t="str">
        <f>"024056"</f>
        <v>024056</v>
      </c>
      <c r="D2431" s="12" t="s">
        <v>1392</v>
      </c>
      <c r="E2431" s="14" t="s">
        <v>1396</v>
      </c>
      <c r="F2431" s="12" t="s">
        <v>1386</v>
      </c>
      <c r="G2431" s="15">
        <v>5</v>
      </c>
      <c r="H2431" s="12" t="s">
        <v>1391</v>
      </c>
      <c r="I2431" s="12" t="s">
        <v>980</v>
      </c>
      <c r="K2431" s="16">
        <v>10.039999999999999</v>
      </c>
      <c r="L2431" s="16">
        <v>15.92</v>
      </c>
      <c r="M2431" s="16">
        <v>17.329999999999998</v>
      </c>
    </row>
    <row r="2432" spans="1:13" ht="33.75" outlineLevel="3" x14ac:dyDescent="0.2">
      <c r="B2432" s="4" t="str">
        <f>"0016760005"</f>
        <v>0016760005</v>
      </c>
      <c r="C2432" s="5" t="str">
        <f>"055642"</f>
        <v>055642</v>
      </c>
      <c r="D2432" s="12" t="s">
        <v>1393</v>
      </c>
      <c r="E2432" s="14" t="s">
        <v>1396</v>
      </c>
      <c r="F2432" s="12" t="s">
        <v>1386</v>
      </c>
      <c r="G2432" s="15">
        <v>5</v>
      </c>
      <c r="H2432" s="12" t="s">
        <v>1391</v>
      </c>
      <c r="I2432" s="12" t="s">
        <v>39</v>
      </c>
      <c r="K2432" s="16">
        <v>10.039999999999999</v>
      </c>
      <c r="L2432" s="16">
        <v>15.92</v>
      </c>
      <c r="M2432" s="16">
        <v>17.329999999999998</v>
      </c>
    </row>
    <row r="2433" spans="2:13" ht="33.75" outlineLevel="3" x14ac:dyDescent="0.2">
      <c r="B2433" s="4" t="str">
        <f>"0016760005"</f>
        <v>0016760005</v>
      </c>
      <c r="C2433" s="5" t="str">
        <f>"103806"</f>
        <v>103806</v>
      </c>
      <c r="D2433" s="12" t="s">
        <v>1394</v>
      </c>
      <c r="E2433" s="14" t="s">
        <v>1396</v>
      </c>
      <c r="F2433" s="12" t="s">
        <v>1386</v>
      </c>
      <c r="G2433" s="15">
        <v>5</v>
      </c>
      <c r="H2433" s="12" t="s">
        <v>1391</v>
      </c>
      <c r="I2433" s="12" t="s">
        <v>5</v>
      </c>
      <c r="K2433" s="16">
        <v>10.039999999999999</v>
      </c>
      <c r="L2433" s="16">
        <v>15.92</v>
      </c>
      <c r="M2433" s="16">
        <v>17.329999999999998</v>
      </c>
    </row>
    <row r="2434" spans="2:13" ht="33.75" outlineLevel="3" x14ac:dyDescent="0.2">
      <c r="B2434" s="4" t="str">
        <f>"0016760005"</f>
        <v>0016760005</v>
      </c>
      <c r="C2434" s="5" t="str">
        <f>"069116"</f>
        <v>069116</v>
      </c>
      <c r="D2434" s="12" t="s">
        <v>1395</v>
      </c>
      <c r="E2434" s="14" t="s">
        <v>1396</v>
      </c>
      <c r="F2434" s="12" t="s">
        <v>1386</v>
      </c>
      <c r="G2434" s="15">
        <v>5</v>
      </c>
      <c r="H2434" s="12" t="s">
        <v>1391</v>
      </c>
      <c r="I2434" s="12" t="s">
        <v>60</v>
      </c>
      <c r="K2434" s="16">
        <v>9.98</v>
      </c>
      <c r="L2434" s="16">
        <v>15.83</v>
      </c>
      <c r="M2434" s="16">
        <v>17.329999999999998</v>
      </c>
    </row>
    <row r="2435" spans="2:13" outlineLevel="2" x14ac:dyDescent="0.2"/>
    <row r="2436" spans="2:13" ht="33.75" outlineLevel="3" x14ac:dyDescent="0.2">
      <c r="B2436" s="4" t="str">
        <f>"0016770005"</f>
        <v>0016770005</v>
      </c>
      <c r="C2436" s="5" t="str">
        <f>"084223"</f>
        <v>084223</v>
      </c>
      <c r="D2436" s="12" t="s">
        <v>1389</v>
      </c>
      <c r="E2436" s="14" t="s">
        <v>1397</v>
      </c>
      <c r="F2436" s="12" t="s">
        <v>1386</v>
      </c>
      <c r="G2436" s="15">
        <v>5</v>
      </c>
      <c r="H2436" s="12" t="s">
        <v>1391</v>
      </c>
      <c r="I2436" s="12" t="s">
        <v>70</v>
      </c>
      <c r="J2436" s="2" t="s">
        <v>1400</v>
      </c>
      <c r="K2436" s="16">
        <v>14.37</v>
      </c>
      <c r="L2436" s="16">
        <v>22.35</v>
      </c>
      <c r="M2436" s="16">
        <v>22.93</v>
      </c>
    </row>
    <row r="2437" spans="2:13" ht="33.75" outlineLevel="3" x14ac:dyDescent="0.2">
      <c r="B2437" s="4" t="str">
        <f>"0016770005"</f>
        <v>0016770005</v>
      </c>
      <c r="C2437" s="5" t="str">
        <f>"019108"</f>
        <v>019108</v>
      </c>
      <c r="D2437" s="12" t="s">
        <v>1392</v>
      </c>
      <c r="E2437" s="14" t="s">
        <v>1397</v>
      </c>
      <c r="F2437" s="12" t="s">
        <v>1386</v>
      </c>
      <c r="G2437" s="15">
        <v>5</v>
      </c>
      <c r="H2437" s="12" t="s">
        <v>1391</v>
      </c>
      <c r="I2437" s="12" t="s">
        <v>980</v>
      </c>
      <c r="K2437" s="16">
        <v>14.37</v>
      </c>
      <c r="L2437" s="16">
        <v>22.35</v>
      </c>
      <c r="M2437" s="16">
        <v>22.93</v>
      </c>
    </row>
    <row r="2438" spans="2:13" ht="33.75" outlineLevel="3" x14ac:dyDescent="0.2">
      <c r="B2438" s="4" t="str">
        <f>"0016770005"</f>
        <v>0016770005</v>
      </c>
      <c r="C2438" s="5" t="str">
        <f>"055687"</f>
        <v>055687</v>
      </c>
      <c r="D2438" s="12" t="s">
        <v>1393</v>
      </c>
      <c r="E2438" s="14" t="s">
        <v>1397</v>
      </c>
      <c r="F2438" s="12" t="s">
        <v>1386</v>
      </c>
      <c r="G2438" s="15">
        <v>5</v>
      </c>
      <c r="H2438" s="12" t="s">
        <v>1391</v>
      </c>
      <c r="I2438" s="12" t="s">
        <v>39</v>
      </c>
      <c r="K2438" s="16">
        <v>14.37</v>
      </c>
      <c r="L2438" s="16">
        <v>22.35</v>
      </c>
      <c r="M2438" s="16">
        <v>22.93</v>
      </c>
    </row>
    <row r="2439" spans="2:13" ht="33.75" outlineLevel="3" x14ac:dyDescent="0.2">
      <c r="B2439" s="4" t="str">
        <f>"0016770005"</f>
        <v>0016770005</v>
      </c>
      <c r="C2439" s="5" t="str">
        <f>"060114"</f>
        <v>060114</v>
      </c>
      <c r="D2439" s="12" t="s">
        <v>1394</v>
      </c>
      <c r="E2439" s="14" t="s">
        <v>1397</v>
      </c>
      <c r="F2439" s="12" t="s">
        <v>1386</v>
      </c>
      <c r="G2439" s="15">
        <v>5</v>
      </c>
      <c r="H2439" s="12" t="s">
        <v>1391</v>
      </c>
      <c r="I2439" s="12" t="s">
        <v>5</v>
      </c>
      <c r="K2439" s="16">
        <v>14.37</v>
      </c>
      <c r="L2439" s="16">
        <v>22.35</v>
      </c>
      <c r="M2439" s="16">
        <v>22.93</v>
      </c>
    </row>
    <row r="2440" spans="2:13" ht="33.75" outlineLevel="3" x14ac:dyDescent="0.2">
      <c r="B2440" s="4" t="str">
        <f>"0016770005"</f>
        <v>0016770005</v>
      </c>
      <c r="C2440" s="5" t="str">
        <f>"069127"</f>
        <v>069127</v>
      </c>
      <c r="D2440" s="12" t="s">
        <v>1395</v>
      </c>
      <c r="E2440" s="14" t="s">
        <v>1397</v>
      </c>
      <c r="F2440" s="12" t="s">
        <v>1386</v>
      </c>
      <c r="G2440" s="15">
        <v>5</v>
      </c>
      <c r="H2440" s="12" t="s">
        <v>1391</v>
      </c>
      <c r="I2440" s="12" t="s">
        <v>60</v>
      </c>
      <c r="K2440" s="16">
        <v>13.75</v>
      </c>
      <c r="L2440" s="16">
        <v>21.43</v>
      </c>
      <c r="M2440" s="16">
        <v>22.93</v>
      </c>
    </row>
    <row r="2441" spans="2:13" outlineLevel="2" x14ac:dyDescent="0.2"/>
    <row r="2442" spans="2:13" ht="33.75" outlineLevel="3" x14ac:dyDescent="0.2">
      <c r="B2442" s="4" t="str">
        <f>"0016780005"</f>
        <v>0016780005</v>
      </c>
      <c r="C2442" s="5" t="str">
        <f>"019094"</f>
        <v>019094</v>
      </c>
      <c r="D2442" s="12" t="s">
        <v>1392</v>
      </c>
      <c r="E2442" s="14" t="s">
        <v>1398</v>
      </c>
      <c r="F2442" s="12" t="s">
        <v>1386</v>
      </c>
      <c r="G2442" s="15">
        <v>5</v>
      </c>
      <c r="H2442" s="12" t="s">
        <v>1391</v>
      </c>
      <c r="I2442" s="12" t="s">
        <v>980</v>
      </c>
      <c r="K2442" s="16">
        <v>21.01</v>
      </c>
      <c r="L2442" s="16">
        <v>32.21</v>
      </c>
      <c r="M2442" s="16">
        <v>32.21</v>
      </c>
    </row>
    <row r="2443" spans="2:13" ht="33.75" outlineLevel="3" x14ac:dyDescent="0.2">
      <c r="B2443" s="4" t="str">
        <f>"0016780005"</f>
        <v>0016780005</v>
      </c>
      <c r="C2443" s="5" t="str">
        <f>"055733"</f>
        <v>055733</v>
      </c>
      <c r="D2443" s="12" t="s">
        <v>1393</v>
      </c>
      <c r="E2443" s="14" t="s">
        <v>1398</v>
      </c>
      <c r="F2443" s="12" t="s">
        <v>1386</v>
      </c>
      <c r="G2443" s="15">
        <v>5</v>
      </c>
      <c r="H2443" s="12" t="s">
        <v>1391</v>
      </c>
      <c r="I2443" s="12" t="s">
        <v>39</v>
      </c>
      <c r="K2443" s="16">
        <v>21.01</v>
      </c>
      <c r="L2443" s="16">
        <v>32.21</v>
      </c>
      <c r="M2443" s="16">
        <v>32.21</v>
      </c>
    </row>
    <row r="2444" spans="2:13" ht="33.75" outlineLevel="3" x14ac:dyDescent="0.2">
      <c r="B2444" s="4" t="str">
        <f>"0016780005"</f>
        <v>0016780005</v>
      </c>
      <c r="C2444" s="5" t="str">
        <f>"060123"</f>
        <v>060123</v>
      </c>
      <c r="D2444" s="12" t="s">
        <v>1394</v>
      </c>
      <c r="E2444" s="14" t="s">
        <v>1398</v>
      </c>
      <c r="F2444" s="12" t="s">
        <v>1386</v>
      </c>
      <c r="G2444" s="15">
        <v>5</v>
      </c>
      <c r="H2444" s="12" t="s">
        <v>1391</v>
      </c>
      <c r="I2444" s="12" t="s">
        <v>5</v>
      </c>
      <c r="K2444" s="16">
        <v>21.01</v>
      </c>
      <c r="L2444" s="16">
        <v>32.21</v>
      </c>
      <c r="M2444" s="16">
        <v>32.21</v>
      </c>
    </row>
    <row r="2445" spans="2:13" ht="33.75" outlineLevel="3" x14ac:dyDescent="0.2">
      <c r="B2445" s="4" t="str">
        <f>"0016780005"</f>
        <v>0016780005</v>
      </c>
      <c r="C2445" s="5" t="str">
        <f>"084232"</f>
        <v>084232</v>
      </c>
      <c r="D2445" s="12" t="s">
        <v>1389</v>
      </c>
      <c r="E2445" s="14" t="s">
        <v>1398</v>
      </c>
      <c r="F2445" s="12" t="s">
        <v>1386</v>
      </c>
      <c r="G2445" s="15">
        <v>5</v>
      </c>
      <c r="H2445" s="12" t="s">
        <v>1391</v>
      </c>
      <c r="I2445" s="12" t="s">
        <v>70</v>
      </c>
      <c r="J2445" s="2" t="s">
        <v>1400</v>
      </c>
      <c r="K2445" s="16">
        <v>21</v>
      </c>
      <c r="L2445" s="16">
        <v>32.200000000000003</v>
      </c>
      <c r="M2445" s="16">
        <v>32.21</v>
      </c>
    </row>
    <row r="2446" spans="2:13" ht="33.75" outlineLevel="3" x14ac:dyDescent="0.2">
      <c r="B2446" s="4" t="str">
        <f>"0016780005"</f>
        <v>0016780005</v>
      </c>
      <c r="C2446" s="5" t="str">
        <f>"069138"</f>
        <v>069138</v>
      </c>
      <c r="D2446" s="12" t="s">
        <v>1395</v>
      </c>
      <c r="E2446" s="14" t="s">
        <v>1398</v>
      </c>
      <c r="F2446" s="12" t="s">
        <v>1386</v>
      </c>
      <c r="G2446" s="15">
        <v>5</v>
      </c>
      <c r="H2446" s="12" t="s">
        <v>1391</v>
      </c>
      <c r="I2446" s="12" t="s">
        <v>60</v>
      </c>
      <c r="K2446" s="16">
        <v>20</v>
      </c>
      <c r="L2446" s="16">
        <v>30.71</v>
      </c>
      <c r="M2446" s="16">
        <v>32.21</v>
      </c>
    </row>
    <row r="2447" spans="2:13" outlineLevel="2" x14ac:dyDescent="0.2"/>
    <row r="2448" spans="2:13" ht="33.75" outlineLevel="3" x14ac:dyDescent="0.2">
      <c r="B2448" s="4" t="str">
        <f>"0016790005"</f>
        <v>0016790005</v>
      </c>
      <c r="C2448" s="5" t="str">
        <f>"084241"</f>
        <v>084241</v>
      </c>
      <c r="D2448" s="12" t="s">
        <v>1389</v>
      </c>
      <c r="E2448" s="14" t="s">
        <v>1399</v>
      </c>
      <c r="F2448" s="12" t="s">
        <v>1386</v>
      </c>
      <c r="G2448" s="15">
        <v>5</v>
      </c>
      <c r="H2448" s="12" t="s">
        <v>1391</v>
      </c>
      <c r="I2448" s="12" t="s">
        <v>70</v>
      </c>
      <c r="J2448" s="2" t="s">
        <v>1400</v>
      </c>
      <c r="K2448" s="16">
        <v>30.09</v>
      </c>
      <c r="L2448" s="16">
        <v>45.69</v>
      </c>
      <c r="M2448" s="16">
        <v>44.59</v>
      </c>
    </row>
    <row r="2449" spans="1:13" ht="33.75" outlineLevel="3" x14ac:dyDescent="0.2">
      <c r="B2449" s="4" t="str">
        <f>"0016790005"</f>
        <v>0016790005</v>
      </c>
      <c r="C2449" s="5" t="str">
        <f>"018995"</f>
        <v>018995</v>
      </c>
      <c r="D2449" s="12" t="s">
        <v>1392</v>
      </c>
      <c r="E2449" s="14" t="s">
        <v>1399</v>
      </c>
      <c r="F2449" s="12" t="s">
        <v>1386</v>
      </c>
      <c r="G2449" s="15">
        <v>5</v>
      </c>
      <c r="H2449" s="12" t="s">
        <v>1391</v>
      </c>
      <c r="I2449" s="12" t="s">
        <v>980</v>
      </c>
      <c r="K2449" s="16">
        <v>30.09</v>
      </c>
      <c r="L2449" s="16">
        <v>45.69</v>
      </c>
      <c r="M2449" s="16">
        <v>44.59</v>
      </c>
    </row>
    <row r="2450" spans="1:13" ht="33.75" outlineLevel="3" x14ac:dyDescent="0.2">
      <c r="B2450" s="4" t="str">
        <f>"0016790005"</f>
        <v>0016790005</v>
      </c>
      <c r="C2450" s="5" t="str">
        <f>"055778"</f>
        <v>055778</v>
      </c>
      <c r="D2450" s="12" t="s">
        <v>1393</v>
      </c>
      <c r="E2450" s="14" t="s">
        <v>1399</v>
      </c>
      <c r="F2450" s="12" t="s">
        <v>1386</v>
      </c>
      <c r="G2450" s="15">
        <v>5</v>
      </c>
      <c r="H2450" s="12" t="s">
        <v>1391</v>
      </c>
      <c r="I2450" s="12" t="s">
        <v>39</v>
      </c>
      <c r="K2450" s="16">
        <v>30.09</v>
      </c>
      <c r="L2450" s="16">
        <v>45.69</v>
      </c>
      <c r="M2450" s="16">
        <v>44.59</v>
      </c>
    </row>
    <row r="2451" spans="1:13" ht="33.75" outlineLevel="3" x14ac:dyDescent="0.2">
      <c r="B2451" s="4" t="str">
        <f>"0016790005"</f>
        <v>0016790005</v>
      </c>
      <c r="C2451" s="5" t="str">
        <f>"060132"</f>
        <v>060132</v>
      </c>
      <c r="D2451" s="12" t="s">
        <v>1394</v>
      </c>
      <c r="E2451" s="14" t="s">
        <v>1399</v>
      </c>
      <c r="F2451" s="12" t="s">
        <v>1386</v>
      </c>
      <c r="G2451" s="15">
        <v>5</v>
      </c>
      <c r="H2451" s="12" t="s">
        <v>1391</v>
      </c>
      <c r="I2451" s="12" t="s">
        <v>5</v>
      </c>
      <c r="K2451" s="16">
        <v>30.09</v>
      </c>
      <c r="L2451" s="16">
        <v>45.69</v>
      </c>
      <c r="M2451" s="16">
        <v>44.59</v>
      </c>
    </row>
    <row r="2452" spans="1:13" ht="33.75" outlineLevel="3" x14ac:dyDescent="0.2">
      <c r="B2452" s="4" t="str">
        <f>"0016790005"</f>
        <v>0016790005</v>
      </c>
      <c r="C2452" s="5" t="str">
        <f>"069149"</f>
        <v>069149</v>
      </c>
      <c r="D2452" s="12" t="s">
        <v>1395</v>
      </c>
      <c r="E2452" s="14" t="s">
        <v>1399</v>
      </c>
      <c r="F2452" s="12" t="s">
        <v>1386</v>
      </c>
      <c r="G2452" s="15">
        <v>5</v>
      </c>
      <c r="H2452" s="12" t="s">
        <v>1391</v>
      </c>
      <c r="I2452" s="12" t="s">
        <v>60</v>
      </c>
      <c r="K2452" s="16">
        <v>28</v>
      </c>
      <c r="L2452" s="16">
        <v>42.59</v>
      </c>
      <c r="M2452" s="16">
        <v>44.59</v>
      </c>
    </row>
    <row r="2453" spans="1:13" outlineLevel="1" x14ac:dyDescent="0.2">
      <c r="A2453" s="3"/>
    </row>
    <row r="2454" spans="1:13" outlineLevel="2" x14ac:dyDescent="0.2">
      <c r="A2454" s="3" t="s">
        <v>1539</v>
      </c>
    </row>
    <row r="2455" spans="1:13" outlineLevel="3" x14ac:dyDescent="0.2">
      <c r="B2455" s="4" t="str">
        <f>"0003220020"</f>
        <v>0003220020</v>
      </c>
      <c r="C2455" s="5" t="str">
        <f>"131303"</f>
        <v>131303</v>
      </c>
      <c r="D2455" s="12" t="s">
        <v>413</v>
      </c>
      <c r="E2455" s="14" t="s">
        <v>106</v>
      </c>
      <c r="F2455" s="12" t="s">
        <v>73</v>
      </c>
      <c r="G2455" s="15">
        <v>20</v>
      </c>
      <c r="H2455" s="12" t="s">
        <v>412</v>
      </c>
      <c r="I2455" s="12" t="s">
        <v>64</v>
      </c>
      <c r="K2455" s="16">
        <v>2.63</v>
      </c>
      <c r="L2455" s="16">
        <v>4.1900000000000004</v>
      </c>
      <c r="M2455" s="16">
        <v>5.69</v>
      </c>
    </row>
    <row r="2456" spans="1:13" outlineLevel="3" x14ac:dyDescent="0.2">
      <c r="B2456" s="4" t="str">
        <f>"0003220020"</f>
        <v>0003220020</v>
      </c>
      <c r="C2456" s="5" t="str">
        <f>"421495"</f>
        <v>421495</v>
      </c>
      <c r="D2456" s="12" t="s">
        <v>414</v>
      </c>
      <c r="E2456" s="14" t="s">
        <v>106</v>
      </c>
      <c r="F2456" s="12" t="s">
        <v>216</v>
      </c>
      <c r="G2456" s="15">
        <v>20</v>
      </c>
      <c r="H2456" s="12" t="s">
        <v>412</v>
      </c>
      <c r="I2456" s="12" t="s">
        <v>5</v>
      </c>
      <c r="K2456" s="16">
        <v>2.63</v>
      </c>
      <c r="L2456" s="16">
        <v>4.1900000000000004</v>
      </c>
      <c r="M2456" s="16">
        <v>5.69</v>
      </c>
    </row>
    <row r="2457" spans="1:13" outlineLevel="3" x14ac:dyDescent="0.2">
      <c r="B2457" s="4" t="str">
        <f>"0003220020"</f>
        <v>0003220020</v>
      </c>
      <c r="C2457" s="5" t="str">
        <f>"565663"</f>
        <v>565663</v>
      </c>
      <c r="D2457" s="12" t="s">
        <v>415</v>
      </c>
      <c r="E2457" s="14" t="s">
        <v>106</v>
      </c>
      <c r="F2457" s="12" t="s">
        <v>216</v>
      </c>
      <c r="G2457" s="15">
        <v>20</v>
      </c>
      <c r="H2457" s="12" t="s">
        <v>412</v>
      </c>
      <c r="I2457" s="12" t="s">
        <v>58</v>
      </c>
      <c r="K2457" s="16">
        <v>2.63</v>
      </c>
      <c r="L2457" s="16">
        <v>4.1900000000000004</v>
      </c>
      <c r="M2457" s="16">
        <v>5.69</v>
      </c>
    </row>
    <row r="2458" spans="1:13" outlineLevel="3" x14ac:dyDescent="0.2">
      <c r="B2458" s="4" t="str">
        <f>"0003220020"</f>
        <v>0003220020</v>
      </c>
      <c r="C2458" s="5" t="str">
        <f>"159997"</f>
        <v>159997</v>
      </c>
      <c r="D2458" s="12" t="s">
        <v>411</v>
      </c>
      <c r="E2458" s="14" t="s">
        <v>106</v>
      </c>
      <c r="F2458" s="12" t="s">
        <v>216</v>
      </c>
      <c r="G2458" s="15">
        <v>20</v>
      </c>
      <c r="H2458" s="12" t="s">
        <v>412</v>
      </c>
      <c r="I2458" s="12" t="s">
        <v>62</v>
      </c>
      <c r="J2458" s="2" t="s">
        <v>1400</v>
      </c>
      <c r="K2458" s="16">
        <v>2.48</v>
      </c>
      <c r="L2458" s="16">
        <v>3.96</v>
      </c>
      <c r="M2458" s="16">
        <v>5.69</v>
      </c>
    </row>
    <row r="2459" spans="1:13" outlineLevel="2" x14ac:dyDescent="0.2"/>
    <row r="2460" spans="1:13" outlineLevel="3" x14ac:dyDescent="0.2">
      <c r="B2460" s="4" t="str">
        <f>"0003220050"</f>
        <v>0003220050</v>
      </c>
      <c r="C2460" s="5" t="str">
        <f>"465095"</f>
        <v>465095</v>
      </c>
      <c r="D2460" s="12" t="s">
        <v>413</v>
      </c>
      <c r="E2460" s="14" t="s">
        <v>106</v>
      </c>
      <c r="F2460" s="12" t="s">
        <v>73</v>
      </c>
      <c r="G2460" s="15">
        <v>50</v>
      </c>
      <c r="H2460" s="12" t="s">
        <v>412</v>
      </c>
      <c r="I2460" s="12" t="s">
        <v>64</v>
      </c>
      <c r="K2460" s="16">
        <v>5.52</v>
      </c>
      <c r="L2460" s="16">
        <v>8.8000000000000007</v>
      </c>
      <c r="M2460" s="16">
        <v>10.3</v>
      </c>
    </row>
    <row r="2461" spans="1:13" outlineLevel="2" x14ac:dyDescent="0.2"/>
    <row r="2462" spans="1:13" outlineLevel="3" x14ac:dyDescent="0.2">
      <c r="B2462" s="4" t="str">
        <f>"0003220100"</f>
        <v>0003220100</v>
      </c>
      <c r="C2462" s="5" t="str">
        <f>"179374"</f>
        <v>179374</v>
      </c>
      <c r="D2462" s="12" t="s">
        <v>415</v>
      </c>
      <c r="E2462" s="14" t="s">
        <v>106</v>
      </c>
      <c r="F2462" s="12" t="s">
        <v>216</v>
      </c>
      <c r="G2462" s="15">
        <v>100</v>
      </c>
      <c r="H2462" s="12" t="s">
        <v>412</v>
      </c>
      <c r="I2462" s="12" t="s">
        <v>58</v>
      </c>
      <c r="K2462" s="16">
        <v>11.12</v>
      </c>
      <c r="L2462" s="16">
        <v>17.52</v>
      </c>
      <c r="M2462" s="16">
        <v>17.36</v>
      </c>
    </row>
    <row r="2463" spans="1:13" outlineLevel="3" x14ac:dyDescent="0.2">
      <c r="B2463" s="4" t="str">
        <f>"0003220100"</f>
        <v>0003220100</v>
      </c>
      <c r="C2463" s="5" t="str">
        <f>"421503"</f>
        <v>421503</v>
      </c>
      <c r="D2463" s="12" t="s">
        <v>414</v>
      </c>
      <c r="E2463" s="14" t="s">
        <v>106</v>
      </c>
      <c r="F2463" s="12" t="s">
        <v>216</v>
      </c>
      <c r="G2463" s="15">
        <v>100</v>
      </c>
      <c r="H2463" s="12" t="s">
        <v>412</v>
      </c>
      <c r="I2463" s="12" t="s">
        <v>5</v>
      </c>
      <c r="K2463" s="16">
        <v>11.12</v>
      </c>
      <c r="L2463" s="16">
        <v>17.52</v>
      </c>
      <c r="M2463" s="16">
        <v>17.36</v>
      </c>
    </row>
    <row r="2464" spans="1:13" outlineLevel="3" x14ac:dyDescent="0.2">
      <c r="B2464" s="4" t="str">
        <f>"0003220100"</f>
        <v>0003220100</v>
      </c>
      <c r="C2464" s="5" t="str">
        <f>"160008"</f>
        <v>160008</v>
      </c>
      <c r="D2464" s="12" t="s">
        <v>411</v>
      </c>
      <c r="E2464" s="14" t="s">
        <v>106</v>
      </c>
      <c r="F2464" s="12" t="s">
        <v>216</v>
      </c>
      <c r="G2464" s="15">
        <v>100</v>
      </c>
      <c r="H2464" s="12" t="s">
        <v>412</v>
      </c>
      <c r="I2464" s="12" t="s">
        <v>62</v>
      </c>
      <c r="K2464" s="16">
        <v>11.11</v>
      </c>
      <c r="L2464" s="16">
        <v>17.510000000000002</v>
      </c>
      <c r="M2464" s="16">
        <v>17.36</v>
      </c>
    </row>
    <row r="2465" spans="2:13" outlineLevel="3" x14ac:dyDescent="0.2">
      <c r="B2465" s="4" t="str">
        <f>"0003220100"</f>
        <v>0003220100</v>
      </c>
      <c r="C2465" s="5" t="str">
        <f>"177750"</f>
        <v>177750</v>
      </c>
      <c r="D2465" s="12" t="s">
        <v>413</v>
      </c>
      <c r="E2465" s="14" t="s">
        <v>106</v>
      </c>
      <c r="F2465" s="12" t="s">
        <v>73</v>
      </c>
      <c r="G2465" s="15">
        <v>100</v>
      </c>
      <c r="H2465" s="12" t="s">
        <v>412</v>
      </c>
      <c r="I2465" s="12" t="s">
        <v>64</v>
      </c>
      <c r="K2465" s="16">
        <v>10</v>
      </c>
      <c r="L2465" s="16">
        <v>15.86</v>
      </c>
      <c r="M2465" s="16">
        <v>17.36</v>
      </c>
    </row>
    <row r="2466" spans="2:13" outlineLevel="2" x14ac:dyDescent="0.2"/>
    <row r="2467" spans="2:13" outlineLevel="3" x14ac:dyDescent="0.2">
      <c r="B2467" s="4" t="str">
        <f>"0007610020"</f>
        <v>0007610020</v>
      </c>
      <c r="C2467" s="5" t="str">
        <f>"022051"</f>
        <v>022051</v>
      </c>
      <c r="D2467" s="12" t="s">
        <v>844</v>
      </c>
      <c r="E2467" s="14" t="s">
        <v>118</v>
      </c>
      <c r="F2467" s="12" t="s">
        <v>441</v>
      </c>
      <c r="G2467" s="15">
        <v>20</v>
      </c>
      <c r="H2467" s="12" t="s">
        <v>412</v>
      </c>
      <c r="I2467" s="12" t="s">
        <v>62</v>
      </c>
      <c r="K2467" s="16">
        <v>6.27</v>
      </c>
      <c r="L2467" s="16">
        <v>10</v>
      </c>
      <c r="M2467" s="16">
        <v>9.9700000000000006</v>
      </c>
    </row>
    <row r="2468" spans="2:13" outlineLevel="3" x14ac:dyDescent="0.2">
      <c r="B2468" s="4" t="str">
        <f>"0007610020"</f>
        <v>0007610020</v>
      </c>
      <c r="C2468" s="5" t="str">
        <f>"435115"</f>
        <v>435115</v>
      </c>
      <c r="D2468" s="12" t="s">
        <v>847</v>
      </c>
      <c r="E2468" s="14" t="s">
        <v>118</v>
      </c>
      <c r="F2468" s="12" t="s">
        <v>441</v>
      </c>
      <c r="G2468" s="15">
        <v>20</v>
      </c>
      <c r="H2468" s="12" t="s">
        <v>412</v>
      </c>
      <c r="I2468" s="12" t="s">
        <v>848</v>
      </c>
      <c r="K2468" s="16">
        <v>6.27</v>
      </c>
      <c r="L2468" s="16">
        <v>10</v>
      </c>
      <c r="M2468" s="16">
        <v>9.9700000000000006</v>
      </c>
    </row>
    <row r="2469" spans="2:13" outlineLevel="3" x14ac:dyDescent="0.2">
      <c r="B2469" s="4" t="str">
        <f>"0007610020"</f>
        <v>0007610020</v>
      </c>
      <c r="C2469" s="5" t="str">
        <f>"148564"</f>
        <v>148564</v>
      </c>
      <c r="D2469" s="12" t="s">
        <v>845</v>
      </c>
      <c r="E2469" s="14" t="s">
        <v>118</v>
      </c>
      <c r="F2469" s="12" t="s">
        <v>441</v>
      </c>
      <c r="G2469" s="15">
        <v>20</v>
      </c>
      <c r="H2469" s="12" t="s">
        <v>412</v>
      </c>
      <c r="I2469" s="12" t="s">
        <v>846</v>
      </c>
      <c r="K2469" s="16">
        <v>5.56</v>
      </c>
      <c r="L2469" s="16">
        <v>8.8699999999999992</v>
      </c>
      <c r="M2469" s="16">
        <v>9.9700000000000006</v>
      </c>
    </row>
    <row r="2470" spans="2:13" outlineLevel="3" x14ac:dyDescent="0.2">
      <c r="B2470" s="4" t="str">
        <f>"0007610020"</f>
        <v>0007610020</v>
      </c>
      <c r="C2470" s="5" t="str">
        <f>"462872"</f>
        <v>462872</v>
      </c>
      <c r="D2470" s="12" t="s">
        <v>847</v>
      </c>
      <c r="E2470" s="14" t="s">
        <v>118</v>
      </c>
      <c r="F2470" s="12" t="s">
        <v>441</v>
      </c>
      <c r="G2470" s="15">
        <v>20</v>
      </c>
      <c r="H2470" s="12" t="s">
        <v>412</v>
      </c>
      <c r="I2470" s="12" t="s">
        <v>75</v>
      </c>
      <c r="K2470" s="16">
        <v>5.31</v>
      </c>
      <c r="L2470" s="16">
        <v>8.4700000000000006</v>
      </c>
      <c r="M2470" s="16">
        <v>9.9700000000000006</v>
      </c>
    </row>
    <row r="2471" spans="2:13" outlineLevel="2" x14ac:dyDescent="0.2"/>
    <row r="2472" spans="2:13" outlineLevel="3" x14ac:dyDescent="0.2">
      <c r="B2472" s="4" t="str">
        <f>"0007610100"</f>
        <v>0007610100</v>
      </c>
      <c r="C2472" s="5" t="str">
        <f>"087948"</f>
        <v>087948</v>
      </c>
      <c r="D2472" s="12" t="s">
        <v>845</v>
      </c>
      <c r="E2472" s="14" t="s">
        <v>118</v>
      </c>
      <c r="F2472" s="12" t="s">
        <v>441</v>
      </c>
      <c r="G2472" s="15">
        <v>100</v>
      </c>
      <c r="H2472" s="12" t="s">
        <v>412</v>
      </c>
      <c r="I2472" s="12" t="s">
        <v>846</v>
      </c>
      <c r="K2472" s="16">
        <v>22.21</v>
      </c>
      <c r="L2472" s="16">
        <v>33.99</v>
      </c>
      <c r="M2472" s="16">
        <v>33.94</v>
      </c>
    </row>
    <row r="2473" spans="2:13" outlineLevel="3" x14ac:dyDescent="0.2">
      <c r="B2473" s="4" t="str">
        <f>"0007610100"</f>
        <v>0007610100</v>
      </c>
      <c r="C2473" s="5" t="str">
        <f>"148575"</f>
        <v>148575</v>
      </c>
      <c r="D2473" s="12" t="s">
        <v>845</v>
      </c>
      <c r="E2473" s="14" t="s">
        <v>118</v>
      </c>
      <c r="F2473" s="12" t="s">
        <v>441</v>
      </c>
      <c r="G2473" s="15" t="s">
        <v>123</v>
      </c>
      <c r="H2473" s="12" t="s">
        <v>412</v>
      </c>
      <c r="I2473" s="12" t="s">
        <v>846</v>
      </c>
      <c r="K2473" s="16">
        <v>22.21</v>
      </c>
      <c r="L2473" s="16">
        <v>33.99</v>
      </c>
      <c r="M2473" s="16">
        <v>33.94</v>
      </c>
    </row>
    <row r="2474" spans="2:13" outlineLevel="3" x14ac:dyDescent="0.2">
      <c r="B2474" s="4" t="str">
        <f>"0007610100"</f>
        <v>0007610100</v>
      </c>
      <c r="C2474" s="5" t="str">
        <f>"435156"</f>
        <v>435156</v>
      </c>
      <c r="D2474" s="12" t="s">
        <v>847</v>
      </c>
      <c r="E2474" s="14" t="s">
        <v>118</v>
      </c>
      <c r="F2474" s="12" t="s">
        <v>441</v>
      </c>
      <c r="G2474" s="15">
        <v>100</v>
      </c>
      <c r="H2474" s="12" t="s">
        <v>412</v>
      </c>
      <c r="I2474" s="12" t="s">
        <v>848</v>
      </c>
      <c r="K2474" s="16">
        <v>22.21</v>
      </c>
      <c r="L2474" s="16">
        <v>33.99</v>
      </c>
      <c r="M2474" s="16">
        <v>33.94</v>
      </c>
    </row>
    <row r="2475" spans="2:13" outlineLevel="3" x14ac:dyDescent="0.2">
      <c r="B2475" s="4" t="str">
        <f>"0007610100"</f>
        <v>0007610100</v>
      </c>
      <c r="C2475" s="5" t="str">
        <f>"022110"</f>
        <v>022110</v>
      </c>
      <c r="D2475" s="12" t="s">
        <v>844</v>
      </c>
      <c r="E2475" s="14" t="s">
        <v>118</v>
      </c>
      <c r="F2475" s="12" t="s">
        <v>441</v>
      </c>
      <c r="G2475" s="15">
        <v>100</v>
      </c>
      <c r="H2475" s="12" t="s">
        <v>412</v>
      </c>
      <c r="I2475" s="12" t="s">
        <v>62</v>
      </c>
      <c r="K2475" s="16">
        <v>22.2</v>
      </c>
      <c r="L2475" s="16">
        <v>33.979999999999997</v>
      </c>
      <c r="M2475" s="16">
        <v>33.94</v>
      </c>
    </row>
    <row r="2476" spans="2:13" outlineLevel="3" x14ac:dyDescent="0.2">
      <c r="B2476" s="4" t="str">
        <f>"0007610100"</f>
        <v>0007610100</v>
      </c>
      <c r="C2476" s="5" t="str">
        <f>"049892"</f>
        <v>049892</v>
      </c>
      <c r="D2476" s="12" t="s">
        <v>847</v>
      </c>
      <c r="E2476" s="14" t="s">
        <v>118</v>
      </c>
      <c r="F2476" s="12" t="s">
        <v>441</v>
      </c>
      <c r="G2476" s="15">
        <v>100</v>
      </c>
      <c r="H2476" s="12" t="s">
        <v>412</v>
      </c>
      <c r="I2476" s="12" t="s">
        <v>75</v>
      </c>
      <c r="K2476" s="16">
        <v>21.16</v>
      </c>
      <c r="L2476" s="16">
        <v>32.44</v>
      </c>
      <c r="M2476" s="16">
        <v>33.94</v>
      </c>
    </row>
    <row r="2477" spans="2:13" outlineLevel="2" x14ac:dyDescent="0.2"/>
    <row r="2478" spans="2:13" outlineLevel="3" x14ac:dyDescent="0.2">
      <c r="B2478" s="4" t="str">
        <f>"0007620020"</f>
        <v>0007620020</v>
      </c>
      <c r="C2478" s="5" t="str">
        <f>"148586"</f>
        <v>148586</v>
      </c>
      <c r="D2478" s="12" t="s">
        <v>845</v>
      </c>
      <c r="E2478" s="14" t="s">
        <v>2</v>
      </c>
      <c r="F2478" s="12" t="s">
        <v>441</v>
      </c>
      <c r="G2478" s="15">
        <v>20</v>
      </c>
      <c r="H2478" s="12" t="s">
        <v>412</v>
      </c>
      <c r="I2478" s="12" t="s">
        <v>846</v>
      </c>
      <c r="K2478" s="16">
        <v>8.5299999999999994</v>
      </c>
      <c r="L2478" s="16">
        <v>13.61</v>
      </c>
      <c r="M2478" s="16">
        <v>15.11</v>
      </c>
    </row>
    <row r="2479" spans="2:13" outlineLevel="3" x14ac:dyDescent="0.2">
      <c r="B2479" s="4" t="str">
        <f>"0007620020"</f>
        <v>0007620020</v>
      </c>
      <c r="C2479" s="5" t="str">
        <f>"435172"</f>
        <v>435172</v>
      </c>
      <c r="D2479" s="12" t="s">
        <v>847</v>
      </c>
      <c r="E2479" s="14" t="s">
        <v>2</v>
      </c>
      <c r="F2479" s="12" t="s">
        <v>441</v>
      </c>
      <c r="G2479" s="15">
        <v>20</v>
      </c>
      <c r="H2479" s="12" t="s">
        <v>412</v>
      </c>
      <c r="I2479" s="12" t="s">
        <v>848</v>
      </c>
      <c r="K2479" s="16">
        <v>8.5299999999999994</v>
      </c>
      <c r="L2479" s="16">
        <v>13.61</v>
      </c>
      <c r="M2479" s="16">
        <v>15.11</v>
      </c>
    </row>
    <row r="2480" spans="2:13" outlineLevel="2" x14ac:dyDescent="0.2"/>
    <row r="2481" spans="1:13" outlineLevel="3" x14ac:dyDescent="0.2">
      <c r="B2481" s="4" t="str">
        <f>"0007620100"</f>
        <v>0007620100</v>
      </c>
      <c r="C2481" s="5" t="str">
        <f>"148597"</f>
        <v>148597</v>
      </c>
      <c r="D2481" s="12" t="s">
        <v>845</v>
      </c>
      <c r="E2481" s="14" t="s">
        <v>2</v>
      </c>
      <c r="F2481" s="12" t="s">
        <v>441</v>
      </c>
      <c r="G2481" s="15" t="s">
        <v>123</v>
      </c>
      <c r="H2481" s="12" t="s">
        <v>412</v>
      </c>
      <c r="I2481" s="12" t="s">
        <v>846</v>
      </c>
      <c r="K2481" s="16">
        <v>38.42</v>
      </c>
      <c r="L2481" s="16">
        <v>58.07</v>
      </c>
      <c r="M2481" s="16">
        <v>60.07</v>
      </c>
    </row>
    <row r="2482" spans="1:13" outlineLevel="3" x14ac:dyDescent="0.2">
      <c r="B2482" s="4" t="str">
        <f>"0007620100"</f>
        <v>0007620100</v>
      </c>
      <c r="C2482" s="5" t="str">
        <f>"435206"</f>
        <v>435206</v>
      </c>
      <c r="D2482" s="12" t="s">
        <v>847</v>
      </c>
      <c r="E2482" s="14" t="s">
        <v>2</v>
      </c>
      <c r="F2482" s="12" t="s">
        <v>441</v>
      </c>
      <c r="G2482" s="15">
        <v>100</v>
      </c>
      <c r="H2482" s="12" t="s">
        <v>412</v>
      </c>
      <c r="I2482" s="12" t="s">
        <v>848</v>
      </c>
      <c r="K2482" s="16">
        <v>38.42</v>
      </c>
      <c r="L2482" s="16">
        <v>58.07</v>
      </c>
      <c r="M2482" s="16">
        <v>60.07</v>
      </c>
    </row>
    <row r="2483" spans="1:13" outlineLevel="3" x14ac:dyDescent="0.2">
      <c r="B2483" s="4" t="str">
        <f>"0007620100"</f>
        <v>0007620100</v>
      </c>
      <c r="C2483" s="5" t="str">
        <f>"467421"</f>
        <v>467421</v>
      </c>
      <c r="D2483" s="12" t="s">
        <v>845</v>
      </c>
      <c r="E2483" s="14" t="s">
        <v>2</v>
      </c>
      <c r="F2483" s="12" t="s">
        <v>441</v>
      </c>
      <c r="G2483" s="15">
        <v>100</v>
      </c>
      <c r="H2483" s="12" t="s">
        <v>412</v>
      </c>
      <c r="I2483" s="12" t="s">
        <v>846</v>
      </c>
      <c r="K2483" s="16">
        <v>38.42</v>
      </c>
      <c r="L2483" s="16">
        <v>58.07</v>
      </c>
      <c r="M2483" s="16">
        <v>60.07</v>
      </c>
    </row>
    <row r="2484" spans="1:13" outlineLevel="2" x14ac:dyDescent="0.2"/>
    <row r="2485" spans="1:13" outlineLevel="3" x14ac:dyDescent="0.2">
      <c r="B2485" s="4" t="str">
        <f>"0007630020"</f>
        <v>0007630020</v>
      </c>
      <c r="C2485" s="5" t="str">
        <f>"022007"</f>
        <v>022007</v>
      </c>
      <c r="D2485" s="12" t="s">
        <v>844</v>
      </c>
      <c r="E2485" s="14" t="s">
        <v>142</v>
      </c>
      <c r="F2485" s="12" t="s">
        <v>441</v>
      </c>
      <c r="G2485" s="15">
        <v>20</v>
      </c>
      <c r="H2485" s="12" t="s">
        <v>412</v>
      </c>
      <c r="I2485" s="12" t="s">
        <v>62</v>
      </c>
      <c r="J2485" s="2" t="s">
        <v>1400</v>
      </c>
      <c r="K2485" s="16">
        <v>11.44</v>
      </c>
      <c r="L2485" s="16">
        <v>18</v>
      </c>
      <c r="M2485" s="16">
        <v>19.399999999999999</v>
      </c>
    </row>
    <row r="2486" spans="1:13" outlineLevel="3" x14ac:dyDescent="0.2">
      <c r="B2486" s="4" t="str">
        <f>"0007630020"</f>
        <v>0007630020</v>
      </c>
      <c r="C2486" s="5" t="str">
        <f>"148608"</f>
        <v>148608</v>
      </c>
      <c r="D2486" s="12" t="s">
        <v>845</v>
      </c>
      <c r="E2486" s="14" t="s">
        <v>142</v>
      </c>
      <c r="F2486" s="12" t="s">
        <v>441</v>
      </c>
      <c r="G2486" s="15">
        <v>20</v>
      </c>
      <c r="H2486" s="12" t="s">
        <v>412</v>
      </c>
      <c r="I2486" s="12" t="s">
        <v>846</v>
      </c>
      <c r="K2486" s="16">
        <v>11.37</v>
      </c>
      <c r="L2486" s="16">
        <v>17.899999999999999</v>
      </c>
      <c r="M2486" s="16">
        <v>19.399999999999999</v>
      </c>
    </row>
    <row r="2487" spans="1:13" outlineLevel="3" x14ac:dyDescent="0.2">
      <c r="B2487" s="4" t="str">
        <f>"0007630020"</f>
        <v>0007630020</v>
      </c>
      <c r="C2487" s="5" t="str">
        <f>"435214"</f>
        <v>435214</v>
      </c>
      <c r="D2487" s="12" t="s">
        <v>847</v>
      </c>
      <c r="E2487" s="14" t="s">
        <v>142</v>
      </c>
      <c r="F2487" s="12" t="s">
        <v>441</v>
      </c>
      <c r="G2487" s="15">
        <v>20</v>
      </c>
      <c r="H2487" s="12" t="s">
        <v>412</v>
      </c>
      <c r="I2487" s="12" t="s">
        <v>848</v>
      </c>
      <c r="K2487" s="16">
        <v>11.37</v>
      </c>
      <c r="L2487" s="16">
        <v>17.899999999999999</v>
      </c>
      <c r="M2487" s="16">
        <v>19.399999999999999</v>
      </c>
    </row>
    <row r="2488" spans="1:13" outlineLevel="2" x14ac:dyDescent="0.2"/>
    <row r="2489" spans="1:13" outlineLevel="3" x14ac:dyDescent="0.2">
      <c r="B2489" s="4" t="str">
        <f>"0007630100"</f>
        <v>0007630100</v>
      </c>
      <c r="C2489" s="5" t="str">
        <f>"148620"</f>
        <v>148620</v>
      </c>
      <c r="D2489" s="12" t="s">
        <v>845</v>
      </c>
      <c r="E2489" s="14" t="s">
        <v>142</v>
      </c>
      <c r="F2489" s="12" t="s">
        <v>441</v>
      </c>
      <c r="G2489" s="15" t="s">
        <v>123</v>
      </c>
      <c r="H2489" s="12" t="s">
        <v>412</v>
      </c>
      <c r="I2489" s="12" t="s">
        <v>846</v>
      </c>
      <c r="K2489" s="16">
        <v>45.72</v>
      </c>
      <c r="L2489" s="16">
        <v>68.900000000000006</v>
      </c>
      <c r="M2489" s="16">
        <v>68.569999999999993</v>
      </c>
    </row>
    <row r="2490" spans="1:13" outlineLevel="3" x14ac:dyDescent="0.2">
      <c r="B2490" s="4" t="str">
        <f>"0007630100"</f>
        <v>0007630100</v>
      </c>
      <c r="C2490" s="5" t="str">
        <f>"435222"</f>
        <v>435222</v>
      </c>
      <c r="D2490" s="12" t="s">
        <v>847</v>
      </c>
      <c r="E2490" s="14" t="s">
        <v>142</v>
      </c>
      <c r="F2490" s="12" t="s">
        <v>441</v>
      </c>
      <c r="G2490" s="15">
        <v>100</v>
      </c>
      <c r="H2490" s="12" t="s">
        <v>412</v>
      </c>
      <c r="I2490" s="12" t="s">
        <v>848</v>
      </c>
      <c r="K2490" s="16">
        <v>45.72</v>
      </c>
      <c r="L2490" s="16">
        <v>68.900000000000006</v>
      </c>
      <c r="M2490" s="16">
        <v>68.569999999999993</v>
      </c>
    </row>
    <row r="2491" spans="1:13" outlineLevel="3" x14ac:dyDescent="0.2">
      <c r="B2491" s="4" t="str">
        <f>"0007630100"</f>
        <v>0007630100</v>
      </c>
      <c r="C2491" s="5" t="str">
        <f>"523372"</f>
        <v>523372</v>
      </c>
      <c r="D2491" s="12" t="s">
        <v>845</v>
      </c>
      <c r="E2491" s="14" t="s">
        <v>142</v>
      </c>
      <c r="F2491" s="12" t="s">
        <v>441</v>
      </c>
      <c r="G2491" s="15">
        <v>100</v>
      </c>
      <c r="H2491" s="12" t="s">
        <v>412</v>
      </c>
      <c r="I2491" s="12" t="s">
        <v>846</v>
      </c>
      <c r="K2491" s="16">
        <v>45.72</v>
      </c>
      <c r="L2491" s="16">
        <v>68.900000000000006</v>
      </c>
      <c r="M2491" s="16">
        <v>68.569999999999993</v>
      </c>
    </row>
    <row r="2492" spans="1:13" outlineLevel="3" x14ac:dyDescent="0.2">
      <c r="B2492" s="4" t="str">
        <f>"0007630100"</f>
        <v>0007630100</v>
      </c>
      <c r="C2492" s="5" t="str">
        <f>"488046"</f>
        <v>488046</v>
      </c>
      <c r="D2492" s="12" t="s">
        <v>847</v>
      </c>
      <c r="E2492" s="14" t="s">
        <v>142</v>
      </c>
      <c r="F2492" s="12" t="s">
        <v>441</v>
      </c>
      <c r="G2492" s="15">
        <v>100</v>
      </c>
      <c r="H2492" s="12" t="s">
        <v>412</v>
      </c>
      <c r="I2492" s="12" t="s">
        <v>75</v>
      </c>
      <c r="K2492" s="16">
        <v>44.15</v>
      </c>
      <c r="L2492" s="16">
        <v>66.569999999999993</v>
      </c>
      <c r="M2492" s="16">
        <v>68.569999999999993</v>
      </c>
    </row>
    <row r="2493" spans="1:13" outlineLevel="1" x14ac:dyDescent="0.2">
      <c r="A2493" s="3"/>
    </row>
    <row r="2494" spans="1:13" outlineLevel="2" x14ac:dyDescent="0.2">
      <c r="A2494" s="3" t="s">
        <v>1540</v>
      </c>
    </row>
    <row r="2495" spans="1:13" outlineLevel="3" x14ac:dyDescent="0.2">
      <c r="B2495" s="4" t="str">
        <f t="shared" ref="B2495:B2501" si="77">"0003250100"</f>
        <v>0003250100</v>
      </c>
      <c r="C2495" s="5" t="str">
        <f>"008777"</f>
        <v>008777</v>
      </c>
      <c r="D2495" s="12" t="s">
        <v>416</v>
      </c>
      <c r="E2495" s="14" t="s">
        <v>66</v>
      </c>
      <c r="F2495" s="12" t="s">
        <v>73</v>
      </c>
      <c r="G2495" s="15">
        <v>100</v>
      </c>
      <c r="H2495" s="12" t="s">
        <v>417</v>
      </c>
      <c r="I2495" s="12" t="s">
        <v>5</v>
      </c>
      <c r="K2495" s="16">
        <v>2.57</v>
      </c>
      <c r="L2495" s="16">
        <v>4.0999999999999996</v>
      </c>
      <c r="M2495" s="16">
        <v>4.0599999999999996</v>
      </c>
    </row>
    <row r="2496" spans="1:13" outlineLevel="3" x14ac:dyDescent="0.2">
      <c r="B2496" s="4" t="str">
        <f t="shared" si="77"/>
        <v>0003250100</v>
      </c>
      <c r="C2496" s="5" t="str">
        <f>"019302"</f>
        <v>019302</v>
      </c>
      <c r="D2496" s="12" t="s">
        <v>419</v>
      </c>
      <c r="E2496" s="14" t="s">
        <v>66</v>
      </c>
      <c r="F2496" s="12" t="s">
        <v>73</v>
      </c>
      <c r="G2496" s="15">
        <v>100</v>
      </c>
      <c r="H2496" s="12" t="s">
        <v>417</v>
      </c>
      <c r="I2496" s="12" t="s">
        <v>64</v>
      </c>
      <c r="K2496" s="16">
        <v>2.57</v>
      </c>
      <c r="L2496" s="16">
        <v>4.0999999999999996</v>
      </c>
      <c r="M2496" s="16">
        <v>4.0599999999999996</v>
      </c>
    </row>
    <row r="2497" spans="2:13" outlineLevel="3" x14ac:dyDescent="0.2">
      <c r="B2497" s="4" t="str">
        <f t="shared" si="77"/>
        <v>0003250100</v>
      </c>
      <c r="C2497" s="5" t="str">
        <f>"411184"</f>
        <v>411184</v>
      </c>
      <c r="D2497" s="12" t="s">
        <v>416</v>
      </c>
      <c r="E2497" s="14" t="s">
        <v>66</v>
      </c>
      <c r="F2497" s="12" t="s">
        <v>73</v>
      </c>
      <c r="G2497" s="15">
        <v>100</v>
      </c>
      <c r="H2497" s="12" t="s">
        <v>417</v>
      </c>
      <c r="I2497" s="12" t="s">
        <v>5</v>
      </c>
      <c r="K2497" s="16">
        <v>2.57</v>
      </c>
      <c r="L2497" s="16">
        <v>4.0999999999999996</v>
      </c>
      <c r="M2497" s="16">
        <v>4.0599999999999996</v>
      </c>
    </row>
    <row r="2498" spans="2:13" ht="33.75" outlineLevel="3" x14ac:dyDescent="0.2">
      <c r="B2498" s="4" t="str">
        <f t="shared" si="77"/>
        <v>0003250100</v>
      </c>
      <c r="C2498" s="5" t="str">
        <f>"445069"</f>
        <v>445069</v>
      </c>
      <c r="D2498" s="12" t="s">
        <v>421</v>
      </c>
      <c r="E2498" s="14" t="s">
        <v>66</v>
      </c>
      <c r="F2498" s="12" t="s">
        <v>3</v>
      </c>
      <c r="G2498" s="15">
        <v>100</v>
      </c>
      <c r="H2498" s="12" t="s">
        <v>417</v>
      </c>
      <c r="I2498" s="12" t="s">
        <v>422</v>
      </c>
      <c r="K2498" s="16">
        <v>2.57</v>
      </c>
      <c r="L2498" s="16">
        <v>4.0999999999999996</v>
      </c>
      <c r="M2498" s="16">
        <v>4.0599999999999996</v>
      </c>
    </row>
    <row r="2499" spans="2:13" outlineLevel="3" x14ac:dyDescent="0.2">
      <c r="B2499" s="4" t="str">
        <f t="shared" si="77"/>
        <v>0003250100</v>
      </c>
      <c r="C2499" s="5" t="str">
        <f>"546192"</f>
        <v>546192</v>
      </c>
      <c r="D2499" s="12" t="s">
        <v>423</v>
      </c>
      <c r="E2499" s="14" t="s">
        <v>66</v>
      </c>
      <c r="F2499" s="12" t="s">
        <v>73</v>
      </c>
      <c r="G2499" s="15">
        <v>100</v>
      </c>
      <c r="H2499" s="12" t="s">
        <v>417</v>
      </c>
      <c r="I2499" s="12" t="s">
        <v>58</v>
      </c>
      <c r="K2499" s="16">
        <v>2.57</v>
      </c>
      <c r="L2499" s="16">
        <v>4.0999999999999996</v>
      </c>
      <c r="M2499" s="16">
        <v>4.0599999999999996</v>
      </c>
    </row>
    <row r="2500" spans="2:13" ht="33.75" outlineLevel="3" x14ac:dyDescent="0.2">
      <c r="B2500" s="4" t="str">
        <f t="shared" si="77"/>
        <v>0003250100</v>
      </c>
      <c r="C2500" s="5" t="str">
        <f>"016826"</f>
        <v>016826</v>
      </c>
      <c r="D2500" s="12" t="s">
        <v>418</v>
      </c>
      <c r="E2500" s="14" t="s">
        <v>66</v>
      </c>
      <c r="F2500" s="12" t="s">
        <v>3</v>
      </c>
      <c r="G2500" s="15">
        <v>100</v>
      </c>
      <c r="H2500" s="12" t="s">
        <v>417</v>
      </c>
      <c r="I2500" s="12" t="s">
        <v>77</v>
      </c>
      <c r="K2500" s="16">
        <v>2.56</v>
      </c>
      <c r="L2500" s="16">
        <v>4.08</v>
      </c>
      <c r="M2500" s="16">
        <v>4.0599999999999996</v>
      </c>
    </row>
    <row r="2501" spans="2:13" outlineLevel="3" x14ac:dyDescent="0.2">
      <c r="B2501" s="4" t="str">
        <f t="shared" si="77"/>
        <v>0003250100</v>
      </c>
      <c r="C2501" s="5" t="str">
        <f>"112721"</f>
        <v>112721</v>
      </c>
      <c r="D2501" s="12" t="s">
        <v>420</v>
      </c>
      <c r="E2501" s="14" t="s">
        <v>66</v>
      </c>
      <c r="F2501" s="12" t="s">
        <v>73</v>
      </c>
      <c r="G2501" s="15">
        <v>100</v>
      </c>
      <c r="H2501" s="12" t="s">
        <v>417</v>
      </c>
      <c r="I2501" s="12" t="s">
        <v>70</v>
      </c>
      <c r="K2501" s="16">
        <v>1.61</v>
      </c>
      <c r="L2501" s="16">
        <v>2.56</v>
      </c>
      <c r="M2501" s="16">
        <v>4.0599999999999996</v>
      </c>
    </row>
    <row r="2502" spans="2:13" outlineLevel="2" x14ac:dyDescent="0.2"/>
    <row r="2503" spans="2:13" outlineLevel="3" x14ac:dyDescent="0.2">
      <c r="B2503" s="4" t="str">
        <f>"0010050030"</f>
        <v>0010050030</v>
      </c>
      <c r="C2503" s="5" t="str">
        <f>"083531"</f>
        <v>083531</v>
      </c>
      <c r="D2503" s="12" t="s">
        <v>1019</v>
      </c>
      <c r="E2503" s="14" t="s">
        <v>54</v>
      </c>
      <c r="F2503" s="12" t="s">
        <v>73</v>
      </c>
      <c r="G2503" s="15">
        <v>30</v>
      </c>
      <c r="H2503" s="12" t="s">
        <v>417</v>
      </c>
      <c r="I2503" s="12" t="s">
        <v>64</v>
      </c>
      <c r="K2503" s="16">
        <v>1.58</v>
      </c>
      <c r="L2503" s="16">
        <v>2.52</v>
      </c>
      <c r="M2503" s="16">
        <v>4.0199999999999996</v>
      </c>
    </row>
    <row r="2504" spans="2:13" ht="33.75" outlineLevel="3" x14ac:dyDescent="0.2">
      <c r="B2504" s="4" t="str">
        <f>"0010050030"</f>
        <v>0010050030</v>
      </c>
      <c r="C2504" s="5" t="str">
        <f>"169264"</f>
        <v>169264</v>
      </c>
      <c r="D2504" s="12" t="s">
        <v>423</v>
      </c>
      <c r="E2504" s="14" t="s">
        <v>50</v>
      </c>
      <c r="F2504" s="12" t="s">
        <v>3</v>
      </c>
      <c r="G2504" s="15">
        <v>30</v>
      </c>
      <c r="H2504" s="12" t="s">
        <v>417</v>
      </c>
      <c r="I2504" s="12" t="s">
        <v>58</v>
      </c>
      <c r="K2504" s="16">
        <v>1.58</v>
      </c>
      <c r="L2504" s="16">
        <v>2.52</v>
      </c>
      <c r="M2504" s="16">
        <v>4.0199999999999996</v>
      </c>
    </row>
    <row r="2505" spans="2:13" outlineLevel="3" x14ac:dyDescent="0.2">
      <c r="B2505" s="4" t="str">
        <f>"0010050030"</f>
        <v>0010050030</v>
      </c>
      <c r="C2505" s="5" t="str">
        <f>"565965"</f>
        <v>565965</v>
      </c>
      <c r="D2505" s="12" t="s">
        <v>1020</v>
      </c>
      <c r="E2505" s="14" t="s">
        <v>54</v>
      </c>
      <c r="F2505" s="12" t="s">
        <v>73</v>
      </c>
      <c r="G2505" s="15">
        <v>30</v>
      </c>
      <c r="H2505" s="12" t="s">
        <v>417</v>
      </c>
      <c r="I2505" s="12" t="s">
        <v>5</v>
      </c>
      <c r="K2505" s="16">
        <v>1.58</v>
      </c>
      <c r="L2505" s="16">
        <v>2.52</v>
      </c>
      <c r="M2505" s="16">
        <v>4.0199999999999996</v>
      </c>
    </row>
    <row r="2506" spans="2:13" outlineLevel="2" x14ac:dyDescent="0.2"/>
    <row r="2507" spans="2:13" outlineLevel="3" x14ac:dyDescent="0.2">
      <c r="B2507" s="4" t="str">
        <f t="shared" ref="B2507:B2512" si="78">"0010050100"</f>
        <v>0010050100</v>
      </c>
      <c r="C2507" s="5" t="str">
        <f>"082675"</f>
        <v>082675</v>
      </c>
      <c r="D2507" s="12" t="s">
        <v>1020</v>
      </c>
      <c r="E2507" s="14" t="s">
        <v>54</v>
      </c>
      <c r="F2507" s="12" t="s">
        <v>73</v>
      </c>
      <c r="G2507" s="15">
        <v>100</v>
      </c>
      <c r="H2507" s="12" t="s">
        <v>417</v>
      </c>
      <c r="I2507" s="12" t="s">
        <v>5</v>
      </c>
      <c r="K2507" s="16">
        <v>4.63</v>
      </c>
      <c r="L2507" s="16">
        <v>7.38</v>
      </c>
      <c r="M2507" s="16">
        <v>8.8800000000000008</v>
      </c>
    </row>
    <row r="2508" spans="2:13" outlineLevel="3" x14ac:dyDescent="0.2">
      <c r="B2508" s="4" t="str">
        <f t="shared" si="78"/>
        <v>0010050100</v>
      </c>
      <c r="C2508" s="5" t="str">
        <f>"083544"</f>
        <v>083544</v>
      </c>
      <c r="D2508" s="12" t="s">
        <v>1019</v>
      </c>
      <c r="E2508" s="14" t="s">
        <v>54</v>
      </c>
      <c r="F2508" s="12" t="s">
        <v>73</v>
      </c>
      <c r="G2508" s="15">
        <v>100</v>
      </c>
      <c r="H2508" s="12" t="s">
        <v>417</v>
      </c>
      <c r="I2508" s="12" t="s">
        <v>64</v>
      </c>
      <c r="K2508" s="16">
        <v>4.63</v>
      </c>
      <c r="L2508" s="16">
        <v>7.38</v>
      </c>
      <c r="M2508" s="16">
        <v>8.8800000000000008</v>
      </c>
    </row>
    <row r="2509" spans="2:13" outlineLevel="3" x14ac:dyDescent="0.2">
      <c r="B2509" s="4" t="str">
        <f t="shared" si="78"/>
        <v>0010050100</v>
      </c>
      <c r="C2509" s="5" t="str">
        <f>"085987"</f>
        <v>085987</v>
      </c>
      <c r="D2509" s="12" t="s">
        <v>1020</v>
      </c>
      <c r="E2509" s="14" t="s">
        <v>54</v>
      </c>
      <c r="F2509" s="12" t="s">
        <v>73</v>
      </c>
      <c r="G2509" s="15">
        <v>100</v>
      </c>
      <c r="H2509" s="12" t="s">
        <v>417</v>
      </c>
      <c r="I2509" s="12" t="s">
        <v>5</v>
      </c>
      <c r="K2509" s="16">
        <v>4.63</v>
      </c>
      <c r="L2509" s="16">
        <v>7.38</v>
      </c>
      <c r="M2509" s="16">
        <v>8.8800000000000008</v>
      </c>
    </row>
    <row r="2510" spans="2:13" ht="33.75" outlineLevel="3" x14ac:dyDescent="0.2">
      <c r="B2510" s="4" t="str">
        <f t="shared" si="78"/>
        <v>0010050100</v>
      </c>
      <c r="C2510" s="5" t="str">
        <f>"169275"</f>
        <v>169275</v>
      </c>
      <c r="D2510" s="12" t="s">
        <v>423</v>
      </c>
      <c r="E2510" s="14" t="s">
        <v>50</v>
      </c>
      <c r="F2510" s="12" t="s">
        <v>3</v>
      </c>
      <c r="G2510" s="15">
        <v>100</v>
      </c>
      <c r="H2510" s="12" t="s">
        <v>417</v>
      </c>
      <c r="I2510" s="12" t="s">
        <v>58</v>
      </c>
      <c r="K2510" s="16">
        <v>4.63</v>
      </c>
      <c r="L2510" s="16">
        <v>7.38</v>
      </c>
      <c r="M2510" s="16">
        <v>8.8800000000000008</v>
      </c>
    </row>
    <row r="2511" spans="2:13" ht="33.75" outlineLevel="3" x14ac:dyDescent="0.2">
      <c r="B2511" s="4" t="str">
        <f t="shared" si="78"/>
        <v>0010050100</v>
      </c>
      <c r="C2511" s="5" t="str">
        <f>"383992"</f>
        <v>383992</v>
      </c>
      <c r="D2511" s="12" t="s">
        <v>1021</v>
      </c>
      <c r="E2511" s="14" t="s">
        <v>50</v>
      </c>
      <c r="F2511" s="12" t="s">
        <v>3</v>
      </c>
      <c r="G2511" s="15">
        <v>100</v>
      </c>
      <c r="H2511" s="12" t="s">
        <v>417</v>
      </c>
      <c r="I2511" s="12" t="s">
        <v>422</v>
      </c>
      <c r="K2511" s="16">
        <v>4.63</v>
      </c>
      <c r="L2511" s="16">
        <v>7.38</v>
      </c>
      <c r="M2511" s="16">
        <v>8.8800000000000008</v>
      </c>
    </row>
    <row r="2512" spans="2:13" outlineLevel="3" x14ac:dyDescent="0.2">
      <c r="B2512" s="4" t="str">
        <f t="shared" si="78"/>
        <v>0010050100</v>
      </c>
      <c r="C2512" s="5" t="str">
        <f>"541901"</f>
        <v>541901</v>
      </c>
      <c r="D2512" s="12" t="s">
        <v>420</v>
      </c>
      <c r="E2512" s="14" t="s">
        <v>54</v>
      </c>
      <c r="F2512" s="12" t="s">
        <v>73</v>
      </c>
      <c r="G2512" s="15">
        <v>100</v>
      </c>
      <c r="H2512" s="12" t="s">
        <v>417</v>
      </c>
      <c r="I2512" s="12" t="s">
        <v>70</v>
      </c>
      <c r="K2512" s="16">
        <v>4.63</v>
      </c>
      <c r="L2512" s="16">
        <v>7.38</v>
      </c>
      <c r="M2512" s="16">
        <v>8.8800000000000008</v>
      </c>
    </row>
    <row r="2513" spans="1:13" outlineLevel="1" x14ac:dyDescent="0.2">
      <c r="A2513" s="3"/>
    </row>
    <row r="2514" spans="1:13" outlineLevel="2" x14ac:dyDescent="0.2">
      <c r="A2514" s="3" t="s">
        <v>1541</v>
      </c>
    </row>
    <row r="2515" spans="1:13" ht="33.75" outlineLevel="3" x14ac:dyDescent="0.2">
      <c r="B2515" s="4" t="str">
        <f>"0003270006"</f>
        <v>0003270006</v>
      </c>
      <c r="C2515" s="5" t="str">
        <f>"018782"</f>
        <v>018782</v>
      </c>
      <c r="D2515" s="12" t="s">
        <v>424</v>
      </c>
      <c r="E2515" s="14" t="s">
        <v>118</v>
      </c>
      <c r="F2515" s="12" t="s">
        <v>3</v>
      </c>
      <c r="G2515" s="15">
        <v>6</v>
      </c>
      <c r="H2515" s="12" t="s">
        <v>425</v>
      </c>
      <c r="I2515" s="12" t="s">
        <v>9</v>
      </c>
      <c r="K2515" s="16">
        <v>21.61</v>
      </c>
      <c r="L2515" s="16">
        <v>33.1</v>
      </c>
      <c r="M2515" s="16">
        <v>8.85</v>
      </c>
    </row>
    <row r="2516" spans="1:13" ht="33.75" outlineLevel="3" x14ac:dyDescent="0.2">
      <c r="B2516" s="4" t="str">
        <f>"0003270006"</f>
        <v>0003270006</v>
      </c>
      <c r="C2516" s="5" t="str">
        <f>"019499"</f>
        <v>019499</v>
      </c>
      <c r="D2516" s="12" t="s">
        <v>426</v>
      </c>
      <c r="E2516" s="14" t="s">
        <v>118</v>
      </c>
      <c r="F2516" s="12" t="s">
        <v>3</v>
      </c>
      <c r="G2516" s="15">
        <v>6</v>
      </c>
      <c r="H2516" s="12" t="s">
        <v>425</v>
      </c>
      <c r="I2516" s="12" t="s">
        <v>70</v>
      </c>
      <c r="K2516" s="16">
        <v>7.41</v>
      </c>
      <c r="L2516" s="16">
        <v>11.81</v>
      </c>
      <c r="M2516" s="16">
        <v>8.85</v>
      </c>
    </row>
    <row r="2517" spans="1:13" ht="33.75" outlineLevel="3" x14ac:dyDescent="0.2">
      <c r="B2517" s="4" t="str">
        <f>"0003270006"</f>
        <v>0003270006</v>
      </c>
      <c r="C2517" s="5" t="str">
        <f>"092096"</f>
        <v>092096</v>
      </c>
      <c r="D2517" s="12" t="s">
        <v>427</v>
      </c>
      <c r="E2517" s="14" t="s">
        <v>118</v>
      </c>
      <c r="F2517" s="12" t="s">
        <v>3</v>
      </c>
      <c r="G2517" s="15">
        <v>6</v>
      </c>
      <c r="H2517" s="12" t="s">
        <v>425</v>
      </c>
      <c r="I2517" s="12" t="s">
        <v>298</v>
      </c>
      <c r="K2517" s="16">
        <v>7.41</v>
      </c>
      <c r="L2517" s="16">
        <v>11.81</v>
      </c>
      <c r="M2517" s="16">
        <v>8.85</v>
      </c>
    </row>
    <row r="2518" spans="1:13" ht="33.75" outlineLevel="3" x14ac:dyDescent="0.2">
      <c r="B2518" s="4" t="str">
        <f>"0003270006"</f>
        <v>0003270006</v>
      </c>
      <c r="C2518" s="5" t="str">
        <f>"398653"</f>
        <v>398653</v>
      </c>
      <c r="D2518" s="12" t="s">
        <v>428</v>
      </c>
      <c r="E2518" s="14" t="s">
        <v>118</v>
      </c>
      <c r="F2518" s="12" t="s">
        <v>3</v>
      </c>
      <c r="G2518" s="15">
        <v>6</v>
      </c>
      <c r="H2518" s="12" t="s">
        <v>425</v>
      </c>
      <c r="I2518" s="12" t="s">
        <v>79</v>
      </c>
      <c r="K2518" s="16">
        <v>4.6100000000000003</v>
      </c>
      <c r="L2518" s="16">
        <v>7.35</v>
      </c>
      <c r="M2518" s="16">
        <v>8.85</v>
      </c>
    </row>
    <row r="2519" spans="1:13" outlineLevel="2" x14ac:dyDescent="0.2"/>
    <row r="2520" spans="1:13" ht="33.75" outlineLevel="3" x14ac:dyDescent="0.2">
      <c r="B2520" s="4" t="str">
        <f>"0003270018"</f>
        <v>0003270018</v>
      </c>
      <c r="C2520" s="5" t="str">
        <f>"018831"</f>
        <v>018831</v>
      </c>
      <c r="D2520" s="12" t="s">
        <v>424</v>
      </c>
      <c r="E2520" s="14" t="s">
        <v>118</v>
      </c>
      <c r="F2520" s="12" t="s">
        <v>3</v>
      </c>
      <c r="G2520" s="15">
        <v>18</v>
      </c>
      <c r="H2520" s="12" t="s">
        <v>425</v>
      </c>
      <c r="I2520" s="12" t="s">
        <v>9</v>
      </c>
      <c r="K2520" s="16">
        <v>56.38</v>
      </c>
      <c r="L2520" s="16">
        <v>83.62</v>
      </c>
      <c r="M2520" s="16">
        <v>5.04</v>
      </c>
    </row>
    <row r="2521" spans="1:13" ht="33.75" outlineLevel="3" x14ac:dyDescent="0.2">
      <c r="B2521" s="4" t="str">
        <f>"0003270018"</f>
        <v>0003270018</v>
      </c>
      <c r="C2521" s="5" t="str">
        <f>"095507"</f>
        <v>095507</v>
      </c>
      <c r="D2521" s="12" t="s">
        <v>427</v>
      </c>
      <c r="E2521" s="14" t="s">
        <v>118</v>
      </c>
      <c r="F2521" s="12" t="s">
        <v>3</v>
      </c>
      <c r="G2521" s="15">
        <v>18</v>
      </c>
      <c r="H2521" s="12" t="s">
        <v>425</v>
      </c>
      <c r="I2521" s="12" t="s">
        <v>298</v>
      </c>
      <c r="J2521" s="2" t="s">
        <v>1400</v>
      </c>
      <c r="K2521" s="16">
        <v>4.33</v>
      </c>
      <c r="L2521" s="16">
        <v>6.91</v>
      </c>
      <c r="M2521" s="16">
        <v>5.04</v>
      </c>
    </row>
    <row r="2522" spans="1:13" ht="33.75" outlineLevel="3" x14ac:dyDescent="0.2">
      <c r="B2522" s="4" t="str">
        <f>"0003270018"</f>
        <v>0003270018</v>
      </c>
      <c r="C2522" s="5" t="str">
        <f>"019529"</f>
        <v>019529</v>
      </c>
      <c r="D2522" s="12" t="s">
        <v>426</v>
      </c>
      <c r="E2522" s="14" t="s">
        <v>118</v>
      </c>
      <c r="F2522" s="12" t="s">
        <v>3</v>
      </c>
      <c r="G2522" s="15">
        <v>18</v>
      </c>
      <c r="H2522" s="12" t="s">
        <v>425</v>
      </c>
      <c r="I2522" s="12" t="s">
        <v>70</v>
      </c>
      <c r="K2522" s="16">
        <v>4.33</v>
      </c>
      <c r="L2522" s="16">
        <v>6.91</v>
      </c>
      <c r="M2522" s="16">
        <v>5.04</v>
      </c>
    </row>
    <row r="2523" spans="1:13" ht="33.75" outlineLevel="3" x14ac:dyDescent="0.2">
      <c r="B2523" s="4" t="str">
        <f>"0003270018"</f>
        <v>0003270018</v>
      </c>
      <c r="C2523" s="5" t="str">
        <f>"151473"</f>
        <v>151473</v>
      </c>
      <c r="D2523" s="12" t="s">
        <v>429</v>
      </c>
      <c r="E2523" s="14" t="s">
        <v>118</v>
      </c>
      <c r="F2523" s="12" t="s">
        <v>3</v>
      </c>
      <c r="G2523" s="15">
        <v>18</v>
      </c>
      <c r="H2523" s="12" t="s">
        <v>425</v>
      </c>
      <c r="I2523" s="12" t="s">
        <v>104</v>
      </c>
      <c r="K2523" s="16">
        <v>4.33</v>
      </c>
      <c r="L2523" s="16">
        <v>6.91</v>
      </c>
      <c r="M2523" s="16">
        <v>5.04</v>
      </c>
    </row>
    <row r="2524" spans="1:13" ht="33.75" outlineLevel="3" x14ac:dyDescent="0.2">
      <c r="B2524" s="4" t="str">
        <f>"0003270018"</f>
        <v>0003270018</v>
      </c>
      <c r="C2524" s="5" t="str">
        <f>"043245"</f>
        <v>043245</v>
      </c>
      <c r="D2524" s="12" t="s">
        <v>428</v>
      </c>
      <c r="E2524" s="14" t="s">
        <v>118</v>
      </c>
      <c r="F2524" s="12" t="s">
        <v>3</v>
      </c>
      <c r="G2524" s="15">
        <v>18</v>
      </c>
      <c r="H2524" s="12" t="s">
        <v>425</v>
      </c>
      <c r="I2524" s="12" t="s">
        <v>79</v>
      </c>
      <c r="K2524" s="16">
        <v>2.2200000000000002</v>
      </c>
      <c r="L2524" s="16">
        <v>3.54</v>
      </c>
      <c r="M2524" s="16">
        <v>5.04</v>
      </c>
    </row>
    <row r="2525" spans="1:13" outlineLevel="2" x14ac:dyDescent="0.2"/>
    <row r="2526" spans="1:13" ht="33.75" outlineLevel="3" x14ac:dyDescent="0.2">
      <c r="B2526" s="4" t="str">
        <f>"0003280006"</f>
        <v>0003280006</v>
      </c>
      <c r="C2526" s="5" t="str">
        <f>"018920"</f>
        <v>018920</v>
      </c>
      <c r="D2526" s="12" t="s">
        <v>424</v>
      </c>
      <c r="E2526" s="14" t="s">
        <v>106</v>
      </c>
      <c r="F2526" s="12" t="s">
        <v>3</v>
      </c>
      <c r="G2526" s="15">
        <v>6</v>
      </c>
      <c r="H2526" s="12" t="s">
        <v>425</v>
      </c>
      <c r="I2526" s="12" t="s">
        <v>9</v>
      </c>
      <c r="K2526" s="16">
        <v>18.8</v>
      </c>
      <c r="L2526" s="16">
        <v>28.93</v>
      </c>
      <c r="M2526" s="16">
        <v>6.53</v>
      </c>
    </row>
    <row r="2527" spans="1:13" ht="33.75" outlineLevel="3" x14ac:dyDescent="0.2">
      <c r="B2527" s="4" t="str">
        <f>"0003280006"</f>
        <v>0003280006</v>
      </c>
      <c r="C2527" s="5" t="str">
        <f>"019516"</f>
        <v>019516</v>
      </c>
      <c r="D2527" s="12" t="s">
        <v>426</v>
      </c>
      <c r="E2527" s="14" t="s">
        <v>106</v>
      </c>
      <c r="F2527" s="12" t="s">
        <v>3</v>
      </c>
      <c r="G2527" s="15">
        <v>6</v>
      </c>
      <c r="H2527" s="12" t="s">
        <v>425</v>
      </c>
      <c r="I2527" s="12" t="s">
        <v>70</v>
      </c>
      <c r="K2527" s="16">
        <v>4.5</v>
      </c>
      <c r="L2527" s="16">
        <v>7.18</v>
      </c>
      <c r="M2527" s="16">
        <v>6.53</v>
      </c>
    </row>
    <row r="2528" spans="1:13" ht="33.75" outlineLevel="3" x14ac:dyDescent="0.2">
      <c r="B2528" s="4" t="str">
        <f>"0003280006"</f>
        <v>0003280006</v>
      </c>
      <c r="C2528" s="5" t="str">
        <f>"092105"</f>
        <v>092105</v>
      </c>
      <c r="D2528" s="12" t="s">
        <v>427</v>
      </c>
      <c r="E2528" s="14" t="s">
        <v>106</v>
      </c>
      <c r="F2528" s="12" t="s">
        <v>3</v>
      </c>
      <c r="G2528" s="15">
        <v>6</v>
      </c>
      <c r="H2528" s="12" t="s">
        <v>425</v>
      </c>
      <c r="I2528" s="12" t="s">
        <v>298</v>
      </c>
      <c r="K2528" s="16">
        <v>4.5</v>
      </c>
      <c r="L2528" s="16">
        <v>7.18</v>
      </c>
      <c r="M2528" s="16">
        <v>6.53</v>
      </c>
    </row>
    <row r="2529" spans="1:13" ht="33.75" outlineLevel="3" x14ac:dyDescent="0.2">
      <c r="B2529" s="4" t="str">
        <f>"0003280006"</f>
        <v>0003280006</v>
      </c>
      <c r="C2529" s="5" t="str">
        <f>"434527"</f>
        <v>434527</v>
      </c>
      <c r="D2529" s="12" t="s">
        <v>428</v>
      </c>
      <c r="E2529" s="14" t="s">
        <v>106</v>
      </c>
      <c r="F2529" s="12" t="s">
        <v>3</v>
      </c>
      <c r="G2529" s="15">
        <v>6</v>
      </c>
      <c r="H2529" s="12" t="s">
        <v>425</v>
      </c>
      <c r="I2529" s="12" t="s">
        <v>79</v>
      </c>
      <c r="K2529" s="16">
        <v>3.15</v>
      </c>
      <c r="L2529" s="16">
        <v>5.03</v>
      </c>
      <c r="M2529" s="16">
        <v>6.53</v>
      </c>
    </row>
    <row r="2530" spans="1:13" outlineLevel="2" x14ac:dyDescent="0.2"/>
    <row r="2531" spans="1:13" ht="33.75" outlineLevel="3" x14ac:dyDescent="0.2">
      <c r="B2531" s="4" t="str">
        <f>"0003280012"</f>
        <v>0003280012</v>
      </c>
      <c r="C2531" s="5" t="str">
        <f>"018787"</f>
        <v>018787</v>
      </c>
      <c r="D2531" s="12" t="s">
        <v>424</v>
      </c>
      <c r="E2531" s="14" t="s">
        <v>106</v>
      </c>
      <c r="F2531" s="12" t="s">
        <v>3</v>
      </c>
      <c r="G2531" s="15">
        <v>12</v>
      </c>
      <c r="H2531" s="12" t="s">
        <v>425</v>
      </c>
      <c r="I2531" s="12" t="s">
        <v>9</v>
      </c>
      <c r="K2531" s="16">
        <v>32.700000000000003</v>
      </c>
      <c r="L2531" s="16">
        <v>49.58</v>
      </c>
      <c r="M2531" s="16">
        <v>9.08</v>
      </c>
    </row>
    <row r="2532" spans="1:13" ht="33.75" outlineLevel="3" x14ac:dyDescent="0.2">
      <c r="B2532" s="4" t="str">
        <f>"0003280012"</f>
        <v>0003280012</v>
      </c>
      <c r="C2532" s="5" t="str">
        <f>"019488"</f>
        <v>019488</v>
      </c>
      <c r="D2532" s="12" t="s">
        <v>426</v>
      </c>
      <c r="E2532" s="14" t="s">
        <v>106</v>
      </c>
      <c r="F2532" s="12" t="s">
        <v>3</v>
      </c>
      <c r="G2532" s="15">
        <v>12</v>
      </c>
      <c r="H2532" s="12" t="s">
        <v>425</v>
      </c>
      <c r="I2532" s="12" t="s">
        <v>70</v>
      </c>
      <c r="K2532" s="16">
        <v>9.19</v>
      </c>
      <c r="L2532" s="16">
        <v>14.66</v>
      </c>
      <c r="M2532" s="16">
        <v>9.08</v>
      </c>
    </row>
    <row r="2533" spans="1:13" ht="33.75" outlineLevel="3" x14ac:dyDescent="0.2">
      <c r="B2533" s="4" t="str">
        <f>"0003280012"</f>
        <v>0003280012</v>
      </c>
      <c r="C2533" s="5" t="str">
        <f>"095470"</f>
        <v>095470</v>
      </c>
      <c r="D2533" s="12" t="s">
        <v>427</v>
      </c>
      <c r="E2533" s="14" t="s">
        <v>106</v>
      </c>
      <c r="F2533" s="12" t="s">
        <v>3</v>
      </c>
      <c r="G2533" s="15">
        <v>12</v>
      </c>
      <c r="H2533" s="12" t="s">
        <v>425</v>
      </c>
      <c r="I2533" s="12" t="s">
        <v>298</v>
      </c>
      <c r="K2533" s="16">
        <v>9.19</v>
      </c>
      <c r="L2533" s="16">
        <v>14.66</v>
      </c>
      <c r="M2533" s="16">
        <v>9.08</v>
      </c>
    </row>
    <row r="2534" spans="1:13" ht="33.75" outlineLevel="3" x14ac:dyDescent="0.2">
      <c r="B2534" s="4" t="str">
        <f>"0003280012"</f>
        <v>0003280012</v>
      </c>
      <c r="C2534" s="5" t="str">
        <f>"151394"</f>
        <v>151394</v>
      </c>
      <c r="D2534" s="12" t="s">
        <v>429</v>
      </c>
      <c r="E2534" s="14" t="s">
        <v>106</v>
      </c>
      <c r="F2534" s="12" t="s">
        <v>3</v>
      </c>
      <c r="G2534" s="15">
        <v>12</v>
      </c>
      <c r="H2534" s="12" t="s">
        <v>425</v>
      </c>
      <c r="I2534" s="12" t="s">
        <v>104</v>
      </c>
      <c r="K2534" s="16">
        <v>9.19</v>
      </c>
      <c r="L2534" s="16">
        <v>14.66</v>
      </c>
      <c r="M2534" s="16">
        <v>9.08</v>
      </c>
    </row>
    <row r="2535" spans="1:13" ht="33.75" outlineLevel="3" x14ac:dyDescent="0.2">
      <c r="B2535" s="4" t="str">
        <f>"0003280012"</f>
        <v>0003280012</v>
      </c>
      <c r="C2535" s="5" t="str">
        <f>"141368"</f>
        <v>141368</v>
      </c>
      <c r="D2535" s="12" t="s">
        <v>428</v>
      </c>
      <c r="E2535" s="14" t="s">
        <v>106</v>
      </c>
      <c r="F2535" s="12" t="s">
        <v>3</v>
      </c>
      <c r="G2535" s="15">
        <v>12</v>
      </c>
      <c r="H2535" s="12" t="s">
        <v>425</v>
      </c>
      <c r="I2535" s="12" t="s">
        <v>79</v>
      </c>
      <c r="K2535" s="16">
        <v>4.75</v>
      </c>
      <c r="L2535" s="16">
        <v>7.58</v>
      </c>
      <c r="M2535" s="16">
        <v>9.08</v>
      </c>
    </row>
    <row r="2536" spans="1:13" outlineLevel="2" x14ac:dyDescent="0.2">
      <c r="A2536" s="3" t="s">
        <v>1542</v>
      </c>
    </row>
    <row r="2537" spans="1:13" ht="22.5" outlineLevel="3" x14ac:dyDescent="0.2">
      <c r="B2537" s="4" t="str">
        <f t="shared" ref="B2537:B2544" si="79">"0003290006"</f>
        <v>0003290006</v>
      </c>
      <c r="C2537" s="5" t="str">
        <f>"184432"</f>
        <v>184432</v>
      </c>
      <c r="D2537" s="12" t="s">
        <v>435</v>
      </c>
      <c r="E2537" s="14" t="s">
        <v>136</v>
      </c>
      <c r="F2537" s="12" t="s">
        <v>432</v>
      </c>
      <c r="G2537" s="15">
        <v>6</v>
      </c>
      <c r="H2537" s="12" t="s">
        <v>431</v>
      </c>
      <c r="I2537" s="12" t="s">
        <v>22</v>
      </c>
      <c r="K2537" s="16">
        <v>15.91</v>
      </c>
      <c r="L2537" s="16">
        <v>24.64</v>
      </c>
      <c r="M2537" s="16">
        <v>17.36</v>
      </c>
    </row>
    <row r="2538" spans="1:13" ht="33.75" outlineLevel="3" x14ac:dyDescent="0.2">
      <c r="B2538" s="4" t="str">
        <f t="shared" si="79"/>
        <v>0003290006</v>
      </c>
      <c r="C2538" s="5" t="str">
        <f>"435594"</f>
        <v>435594</v>
      </c>
      <c r="D2538" s="12" t="s">
        <v>438</v>
      </c>
      <c r="E2538" s="14" t="s">
        <v>136</v>
      </c>
      <c r="F2538" s="12" t="s">
        <v>3</v>
      </c>
      <c r="G2538" s="15">
        <v>6</v>
      </c>
      <c r="H2538" s="12" t="s">
        <v>431</v>
      </c>
      <c r="I2538" s="12" t="s">
        <v>22</v>
      </c>
      <c r="K2538" s="16">
        <v>15.91</v>
      </c>
      <c r="L2538" s="16">
        <v>24.64</v>
      </c>
      <c r="M2538" s="16">
        <v>17.36</v>
      </c>
    </row>
    <row r="2539" spans="1:13" ht="33.75" outlineLevel="3" x14ac:dyDescent="0.2">
      <c r="B2539" s="4" t="str">
        <f t="shared" si="79"/>
        <v>0003290006</v>
      </c>
      <c r="C2539" s="5" t="str">
        <f>"089497"</f>
        <v>089497</v>
      </c>
      <c r="D2539" s="12" t="s">
        <v>430</v>
      </c>
      <c r="E2539" s="14" t="s">
        <v>136</v>
      </c>
      <c r="F2539" s="12" t="s">
        <v>3</v>
      </c>
      <c r="G2539" s="15">
        <v>6</v>
      </c>
      <c r="H2539" s="12" t="s">
        <v>431</v>
      </c>
      <c r="I2539" s="12" t="s">
        <v>68</v>
      </c>
      <c r="K2539" s="16">
        <v>11.01</v>
      </c>
      <c r="L2539" s="16">
        <v>17.36</v>
      </c>
      <c r="M2539" s="16">
        <v>17.36</v>
      </c>
    </row>
    <row r="2540" spans="1:13" ht="22.5" outlineLevel="3" x14ac:dyDescent="0.2">
      <c r="B2540" s="4" t="str">
        <f t="shared" si="79"/>
        <v>0003290006</v>
      </c>
      <c r="C2540" s="5" t="str">
        <f>"089520"</f>
        <v>089520</v>
      </c>
      <c r="D2540" s="12" t="s">
        <v>430</v>
      </c>
      <c r="E2540" s="14" t="s">
        <v>136</v>
      </c>
      <c r="F2540" s="12" t="s">
        <v>432</v>
      </c>
      <c r="G2540" s="15">
        <v>6</v>
      </c>
      <c r="H2540" s="12" t="s">
        <v>431</v>
      </c>
      <c r="I2540" s="12" t="s">
        <v>68</v>
      </c>
      <c r="K2540" s="16">
        <v>11.01</v>
      </c>
      <c r="L2540" s="16">
        <v>17.36</v>
      </c>
      <c r="M2540" s="16">
        <v>17.36</v>
      </c>
    </row>
    <row r="2541" spans="1:13" ht="22.5" outlineLevel="3" x14ac:dyDescent="0.2">
      <c r="B2541" s="4" t="str">
        <f t="shared" si="79"/>
        <v>0003290006</v>
      </c>
      <c r="C2541" s="5" t="str">
        <f>"172236"</f>
        <v>172236</v>
      </c>
      <c r="D2541" s="12" t="s">
        <v>434</v>
      </c>
      <c r="E2541" s="14" t="s">
        <v>136</v>
      </c>
      <c r="F2541" s="12" t="s">
        <v>432</v>
      </c>
      <c r="G2541" s="15">
        <v>6</v>
      </c>
      <c r="H2541" s="12" t="s">
        <v>431</v>
      </c>
      <c r="I2541" s="12" t="s">
        <v>298</v>
      </c>
      <c r="K2541" s="16">
        <v>11.01</v>
      </c>
      <c r="L2541" s="16">
        <v>17.36</v>
      </c>
      <c r="M2541" s="16">
        <v>17.36</v>
      </c>
    </row>
    <row r="2542" spans="1:13" ht="22.5" outlineLevel="3" x14ac:dyDescent="0.2">
      <c r="B2542" s="4" t="str">
        <f t="shared" si="79"/>
        <v>0003290006</v>
      </c>
      <c r="C2542" s="5" t="str">
        <f>"114615"</f>
        <v>114615</v>
      </c>
      <c r="D2542" s="12" t="s">
        <v>433</v>
      </c>
      <c r="E2542" s="14" t="s">
        <v>136</v>
      </c>
      <c r="F2542" s="12" t="s">
        <v>432</v>
      </c>
      <c r="G2542" s="15">
        <v>6</v>
      </c>
      <c r="H2542" s="12" t="s">
        <v>431</v>
      </c>
      <c r="I2542" s="12" t="s">
        <v>70</v>
      </c>
      <c r="K2542" s="16">
        <v>11</v>
      </c>
      <c r="L2542" s="16">
        <v>17.350000000000001</v>
      </c>
      <c r="M2542" s="16">
        <v>17.36</v>
      </c>
    </row>
    <row r="2543" spans="1:13" ht="22.5" outlineLevel="3" x14ac:dyDescent="0.2">
      <c r="B2543" s="4" t="str">
        <f t="shared" si="79"/>
        <v>0003290006</v>
      </c>
      <c r="C2543" s="5" t="str">
        <f>"401116"</f>
        <v>401116</v>
      </c>
      <c r="D2543" s="12" t="s">
        <v>437</v>
      </c>
      <c r="E2543" s="14" t="s">
        <v>136</v>
      </c>
      <c r="F2543" s="12" t="s">
        <v>432</v>
      </c>
      <c r="G2543" s="15">
        <v>6</v>
      </c>
      <c r="H2543" s="12" t="s">
        <v>431</v>
      </c>
      <c r="I2543" s="12" t="s">
        <v>60</v>
      </c>
      <c r="K2543" s="16">
        <v>10.4</v>
      </c>
      <c r="L2543" s="16">
        <v>16.46</v>
      </c>
      <c r="M2543" s="16">
        <v>17.36</v>
      </c>
    </row>
    <row r="2544" spans="1:13" ht="22.5" outlineLevel="3" x14ac:dyDescent="0.2">
      <c r="B2544" s="4" t="str">
        <f t="shared" si="79"/>
        <v>0003290006</v>
      </c>
      <c r="C2544" s="5" t="str">
        <f>"188257"</f>
        <v>188257</v>
      </c>
      <c r="D2544" s="12" t="s">
        <v>436</v>
      </c>
      <c r="E2544" s="14" t="s">
        <v>136</v>
      </c>
      <c r="F2544" s="12" t="s">
        <v>73</v>
      </c>
      <c r="G2544" s="15">
        <v>6</v>
      </c>
      <c r="H2544" s="12" t="s">
        <v>431</v>
      </c>
      <c r="I2544" s="12" t="s">
        <v>60</v>
      </c>
      <c r="K2544" s="16">
        <v>10</v>
      </c>
      <c r="L2544" s="16">
        <v>15.86</v>
      </c>
      <c r="M2544" s="16">
        <v>17.36</v>
      </c>
    </row>
    <row r="2545" spans="1:13" outlineLevel="2" x14ac:dyDescent="0.2"/>
    <row r="2546" spans="1:13" ht="22.5" outlineLevel="3" x14ac:dyDescent="0.2">
      <c r="B2546" s="4" t="str">
        <f>"0003290012"</f>
        <v>0003290012</v>
      </c>
      <c r="C2546" s="5" t="str">
        <f>"431648"</f>
        <v>431648</v>
      </c>
      <c r="D2546" s="12" t="s">
        <v>434</v>
      </c>
      <c r="E2546" s="14" t="s">
        <v>136</v>
      </c>
      <c r="F2546" s="12" t="s">
        <v>432</v>
      </c>
      <c r="G2546" s="15">
        <v>12</v>
      </c>
      <c r="H2546" s="12" t="s">
        <v>431</v>
      </c>
      <c r="I2546" s="12" t="s">
        <v>298</v>
      </c>
      <c r="K2546" s="16">
        <v>31.82</v>
      </c>
      <c r="L2546" s="16">
        <v>48.27</v>
      </c>
      <c r="M2546" s="16">
        <v>50.27</v>
      </c>
    </row>
    <row r="2547" spans="1:13" ht="22.5" outlineLevel="3" x14ac:dyDescent="0.2">
      <c r="B2547" s="4" t="str">
        <f>"0003290012"</f>
        <v>0003290012</v>
      </c>
      <c r="C2547" s="5" t="str">
        <f>"564770"</f>
        <v>564770</v>
      </c>
      <c r="D2547" s="12" t="s">
        <v>433</v>
      </c>
      <c r="E2547" s="14" t="s">
        <v>136</v>
      </c>
      <c r="F2547" s="12" t="s">
        <v>432</v>
      </c>
      <c r="G2547" s="15">
        <v>12</v>
      </c>
      <c r="H2547" s="12" t="s">
        <v>431</v>
      </c>
      <c r="I2547" s="12" t="s">
        <v>70</v>
      </c>
      <c r="K2547" s="16">
        <v>31.82</v>
      </c>
      <c r="L2547" s="16">
        <v>48.27</v>
      </c>
      <c r="M2547" s="16">
        <v>50.27</v>
      </c>
    </row>
    <row r="2548" spans="1:13" outlineLevel="2" x14ac:dyDescent="0.2"/>
    <row r="2549" spans="1:13" ht="33.75" outlineLevel="3" x14ac:dyDescent="0.2">
      <c r="B2549" s="4" t="str">
        <f>"0005740006"</f>
        <v>0005740006</v>
      </c>
      <c r="C2549" s="5" t="str">
        <f>"089509"</f>
        <v>089509</v>
      </c>
      <c r="D2549" s="12" t="s">
        <v>430</v>
      </c>
      <c r="E2549" s="14" t="s">
        <v>111</v>
      </c>
      <c r="F2549" s="12" t="s">
        <v>3</v>
      </c>
      <c r="G2549" s="15">
        <v>6</v>
      </c>
      <c r="H2549" s="12" t="s">
        <v>431</v>
      </c>
      <c r="I2549" s="12" t="s">
        <v>68</v>
      </c>
      <c r="K2549" s="16">
        <v>22.3</v>
      </c>
      <c r="L2549" s="16">
        <v>34.130000000000003</v>
      </c>
      <c r="M2549" s="16">
        <v>35.630000000000003</v>
      </c>
    </row>
    <row r="2550" spans="1:13" outlineLevel="1" x14ac:dyDescent="0.2">
      <c r="A2550" s="3"/>
    </row>
    <row r="2551" spans="1:13" outlineLevel="2" x14ac:dyDescent="0.2">
      <c r="A2551" s="3" t="s">
        <v>1543</v>
      </c>
    </row>
    <row r="2552" spans="1:13" ht="22.5" outlineLevel="3" x14ac:dyDescent="0.2">
      <c r="B2552" s="4" t="str">
        <f>"0011320003"</f>
        <v>0011320003</v>
      </c>
      <c r="C2552" s="5" t="str">
        <f>"124433"</f>
        <v>124433</v>
      </c>
      <c r="D2552" s="12" t="s">
        <v>1124</v>
      </c>
      <c r="E2552" s="14" t="s">
        <v>82</v>
      </c>
      <c r="F2552" s="12" t="s">
        <v>432</v>
      </c>
      <c r="G2552" s="15">
        <v>3</v>
      </c>
      <c r="H2552" s="12" t="s">
        <v>1125</v>
      </c>
      <c r="I2552" s="12" t="s">
        <v>5</v>
      </c>
      <c r="J2552" s="2" t="s">
        <v>1400</v>
      </c>
      <c r="K2552" s="16">
        <v>6.44</v>
      </c>
      <c r="L2552" s="16">
        <v>10.27</v>
      </c>
      <c r="M2552" s="16">
        <v>11.71</v>
      </c>
    </row>
    <row r="2553" spans="1:13" ht="22.5" outlineLevel="3" x14ac:dyDescent="0.2">
      <c r="B2553" s="4" t="str">
        <f>"0011320003"</f>
        <v>0011320003</v>
      </c>
      <c r="C2553" s="5" t="str">
        <f>"466997"</f>
        <v>466997</v>
      </c>
      <c r="D2553" s="12" t="s">
        <v>1126</v>
      </c>
      <c r="E2553" s="14" t="s">
        <v>82</v>
      </c>
      <c r="F2553" s="12" t="s">
        <v>432</v>
      </c>
      <c r="G2553" s="15">
        <v>3</v>
      </c>
      <c r="H2553" s="12" t="s">
        <v>1125</v>
      </c>
      <c r="I2553" s="12" t="s">
        <v>70</v>
      </c>
      <c r="J2553" s="2" t="s">
        <v>1400</v>
      </c>
      <c r="K2553" s="16">
        <v>6.44</v>
      </c>
      <c r="L2553" s="16">
        <v>10.27</v>
      </c>
      <c r="M2553" s="16">
        <v>11.71</v>
      </c>
    </row>
    <row r="2554" spans="1:13" ht="22.5" outlineLevel="3" x14ac:dyDescent="0.2">
      <c r="B2554" s="4" t="str">
        <f>"0011320003"</f>
        <v>0011320003</v>
      </c>
      <c r="C2554" s="5" t="str">
        <f>"397604"</f>
        <v>397604</v>
      </c>
      <c r="D2554" s="12" t="s">
        <v>1127</v>
      </c>
      <c r="E2554" s="14" t="s">
        <v>82</v>
      </c>
      <c r="F2554" s="12" t="s">
        <v>716</v>
      </c>
      <c r="G2554" s="15">
        <v>3</v>
      </c>
      <c r="H2554" s="12" t="s">
        <v>1125</v>
      </c>
      <c r="I2554" s="12" t="s">
        <v>170</v>
      </c>
      <c r="K2554" s="16">
        <v>6.44</v>
      </c>
      <c r="L2554" s="16">
        <v>10.27</v>
      </c>
      <c r="M2554" s="16">
        <v>11.71</v>
      </c>
    </row>
    <row r="2555" spans="1:13" ht="22.5" outlineLevel="3" x14ac:dyDescent="0.2">
      <c r="B2555" s="4" t="str">
        <f>"0011320003"</f>
        <v>0011320003</v>
      </c>
      <c r="C2555" s="5" t="str">
        <f>"424819"</f>
        <v>424819</v>
      </c>
      <c r="D2555" s="12" t="s">
        <v>1128</v>
      </c>
      <c r="E2555" s="14" t="s">
        <v>82</v>
      </c>
      <c r="F2555" s="12" t="s">
        <v>432</v>
      </c>
      <c r="G2555" s="15">
        <v>3</v>
      </c>
      <c r="H2555" s="12" t="s">
        <v>1125</v>
      </c>
      <c r="I2555" s="12" t="s">
        <v>60</v>
      </c>
      <c r="K2555" s="16">
        <v>6.4</v>
      </c>
      <c r="L2555" s="16">
        <v>10.210000000000001</v>
      </c>
      <c r="M2555" s="16">
        <v>11.71</v>
      </c>
    </row>
    <row r="2556" spans="1:13" outlineLevel="2" x14ac:dyDescent="0.2"/>
    <row r="2557" spans="1:13" ht="22.5" outlineLevel="3" x14ac:dyDescent="0.2">
      <c r="B2557" s="4" t="str">
        <f>"0012540006"</f>
        <v>0012540006</v>
      </c>
      <c r="C2557" s="5" t="str">
        <f>"396051"</f>
        <v>396051</v>
      </c>
      <c r="D2557" s="12" t="s">
        <v>1212</v>
      </c>
      <c r="E2557" s="14" t="s">
        <v>82</v>
      </c>
      <c r="F2557" s="12" t="s">
        <v>73</v>
      </c>
      <c r="G2557" s="15">
        <v>6</v>
      </c>
      <c r="H2557" s="12" t="s">
        <v>1125</v>
      </c>
      <c r="I2557" s="12" t="s">
        <v>170</v>
      </c>
      <c r="K2557" s="16">
        <v>15.91</v>
      </c>
      <c r="L2557" s="16">
        <v>24.64</v>
      </c>
      <c r="M2557" s="16">
        <v>24.57</v>
      </c>
    </row>
    <row r="2558" spans="1:13" ht="22.5" outlineLevel="3" x14ac:dyDescent="0.2">
      <c r="B2558" s="4" t="str">
        <f>"0012540006"</f>
        <v>0012540006</v>
      </c>
      <c r="C2558" s="5" t="str">
        <f>"572901"</f>
        <v>572901</v>
      </c>
      <c r="D2558" s="12" t="s">
        <v>1213</v>
      </c>
      <c r="E2558" s="14" t="s">
        <v>82</v>
      </c>
      <c r="F2558" s="12" t="s">
        <v>73</v>
      </c>
      <c r="G2558" s="15">
        <v>6</v>
      </c>
      <c r="H2558" s="12" t="s">
        <v>1125</v>
      </c>
      <c r="I2558" s="12" t="s">
        <v>60</v>
      </c>
      <c r="K2558" s="16">
        <v>14.85</v>
      </c>
      <c r="L2558" s="16">
        <v>23.07</v>
      </c>
      <c r="M2558" s="16">
        <v>24.57</v>
      </c>
    </row>
    <row r="2559" spans="1:13" outlineLevel="2" x14ac:dyDescent="0.2"/>
    <row r="2560" spans="1:13" ht="22.5" outlineLevel="3" x14ac:dyDescent="0.2">
      <c r="B2560" s="4" t="str">
        <f>"0012540018"</f>
        <v>0012540018</v>
      </c>
      <c r="C2560" s="5" t="str">
        <f>"539361"</f>
        <v>539361</v>
      </c>
      <c r="D2560" s="12" t="s">
        <v>1212</v>
      </c>
      <c r="E2560" s="14" t="s">
        <v>82</v>
      </c>
      <c r="F2560" s="12" t="s">
        <v>73</v>
      </c>
      <c r="G2560" s="15">
        <v>18</v>
      </c>
      <c r="H2560" s="12" t="s">
        <v>1125</v>
      </c>
      <c r="I2560" s="12" t="s">
        <v>170</v>
      </c>
      <c r="K2560" s="16">
        <v>47.73</v>
      </c>
      <c r="L2560" s="16">
        <v>71.72</v>
      </c>
      <c r="M2560" s="16">
        <v>70.349999999999994</v>
      </c>
    </row>
    <row r="2561" spans="1:13" ht="22.5" outlineLevel="3" x14ac:dyDescent="0.2">
      <c r="B2561" s="4" t="str">
        <f>"0012540018"</f>
        <v>0012540018</v>
      </c>
      <c r="C2561" s="5" t="str">
        <f>"554025"</f>
        <v>554025</v>
      </c>
      <c r="D2561" s="12" t="s">
        <v>1213</v>
      </c>
      <c r="E2561" s="14" t="s">
        <v>82</v>
      </c>
      <c r="F2561" s="12" t="s">
        <v>73</v>
      </c>
      <c r="G2561" s="15">
        <v>18</v>
      </c>
      <c r="H2561" s="12" t="s">
        <v>1125</v>
      </c>
      <c r="I2561" s="12" t="s">
        <v>60</v>
      </c>
      <c r="K2561" s="16">
        <v>45.35</v>
      </c>
      <c r="L2561" s="16">
        <v>68.349999999999994</v>
      </c>
      <c r="M2561" s="16">
        <v>70.349999999999994</v>
      </c>
    </row>
    <row r="2562" spans="1:13" outlineLevel="1" x14ac:dyDescent="0.2">
      <c r="A2562" s="3"/>
    </row>
    <row r="2563" spans="1:13" outlineLevel="2" x14ac:dyDescent="0.2">
      <c r="A2563" s="3" t="s">
        <v>1544</v>
      </c>
    </row>
    <row r="2564" spans="1:13" ht="33.75" outlineLevel="3" x14ac:dyDescent="0.2">
      <c r="B2564" s="4" t="str">
        <f>"0009210003"</f>
        <v>0009210003</v>
      </c>
      <c r="C2564" s="5" t="str">
        <f>"015805"</f>
        <v>015805</v>
      </c>
      <c r="D2564" s="12" t="s">
        <v>968</v>
      </c>
      <c r="E2564" s="14" t="s">
        <v>146</v>
      </c>
      <c r="F2564" s="12" t="s">
        <v>3</v>
      </c>
      <c r="G2564" s="15">
        <v>3</v>
      </c>
      <c r="H2564" s="12" t="s">
        <v>969</v>
      </c>
      <c r="I2564" s="12" t="s">
        <v>970</v>
      </c>
      <c r="K2564" s="16">
        <v>6.84</v>
      </c>
      <c r="L2564" s="16">
        <v>10.91</v>
      </c>
      <c r="M2564" s="16">
        <v>12.41</v>
      </c>
    </row>
    <row r="2565" spans="1:13" ht="33.75" outlineLevel="3" x14ac:dyDescent="0.2">
      <c r="B2565" s="4" t="str">
        <f>"0009210003"</f>
        <v>0009210003</v>
      </c>
      <c r="C2565" s="5" t="str">
        <f>"114217"</f>
        <v>114217</v>
      </c>
      <c r="D2565" s="12" t="s">
        <v>971</v>
      </c>
      <c r="E2565" s="14" t="s">
        <v>146</v>
      </c>
      <c r="F2565" s="12" t="s">
        <v>3</v>
      </c>
      <c r="G2565" s="15">
        <v>3</v>
      </c>
      <c r="H2565" s="12" t="s">
        <v>969</v>
      </c>
      <c r="I2565" s="12" t="s">
        <v>70</v>
      </c>
      <c r="K2565" s="16">
        <v>6.84</v>
      </c>
      <c r="L2565" s="16">
        <v>10.91</v>
      </c>
      <c r="M2565" s="16">
        <v>12.41</v>
      </c>
    </row>
    <row r="2566" spans="1:13" outlineLevel="2" x14ac:dyDescent="0.2"/>
    <row r="2567" spans="1:13" ht="33.75" outlineLevel="3" x14ac:dyDescent="0.2">
      <c r="B2567" s="4" t="str">
        <f>"0009210006"</f>
        <v>0009210006</v>
      </c>
      <c r="C2567" s="5" t="str">
        <f>"022365"</f>
        <v>022365</v>
      </c>
      <c r="D2567" s="12" t="s">
        <v>968</v>
      </c>
      <c r="E2567" s="14" t="s">
        <v>146</v>
      </c>
      <c r="F2567" s="12" t="s">
        <v>3</v>
      </c>
      <c r="G2567" s="15">
        <v>6</v>
      </c>
      <c r="H2567" s="12" t="s">
        <v>969</v>
      </c>
      <c r="I2567" s="12" t="s">
        <v>75</v>
      </c>
      <c r="J2567" s="2" t="s">
        <v>1400</v>
      </c>
      <c r="K2567" s="16">
        <v>13.68</v>
      </c>
      <c r="L2567" s="16">
        <v>21.33</v>
      </c>
      <c r="M2567" s="16">
        <v>22.83</v>
      </c>
    </row>
    <row r="2568" spans="1:13" ht="33.75" outlineLevel="3" x14ac:dyDescent="0.2">
      <c r="B2568" s="4" t="str">
        <f>"0009210006"</f>
        <v>0009210006</v>
      </c>
      <c r="C2568" s="5" t="str">
        <f>"015816"</f>
        <v>015816</v>
      </c>
      <c r="D2568" s="12" t="s">
        <v>968</v>
      </c>
      <c r="E2568" s="14" t="s">
        <v>146</v>
      </c>
      <c r="F2568" s="12" t="s">
        <v>3</v>
      </c>
      <c r="G2568" s="15">
        <v>6</v>
      </c>
      <c r="H2568" s="12" t="s">
        <v>969</v>
      </c>
      <c r="I2568" s="12" t="s">
        <v>970</v>
      </c>
      <c r="K2568" s="16">
        <v>13.68</v>
      </c>
      <c r="L2568" s="16">
        <v>21.33</v>
      </c>
      <c r="M2568" s="16">
        <v>22.83</v>
      </c>
    </row>
    <row r="2569" spans="1:13" ht="33.75" outlineLevel="3" x14ac:dyDescent="0.2">
      <c r="B2569" s="4" t="str">
        <f>"0009210006"</f>
        <v>0009210006</v>
      </c>
      <c r="C2569" s="5" t="str">
        <f>"485525"</f>
        <v>485525</v>
      </c>
      <c r="D2569" s="12" t="s">
        <v>971</v>
      </c>
      <c r="E2569" s="14" t="s">
        <v>146</v>
      </c>
      <c r="F2569" s="12" t="s">
        <v>3</v>
      </c>
      <c r="G2569" s="15">
        <v>6</v>
      </c>
      <c r="H2569" s="12" t="s">
        <v>969</v>
      </c>
      <c r="I2569" s="12" t="s">
        <v>70</v>
      </c>
      <c r="K2569" s="16">
        <v>13.68</v>
      </c>
      <c r="L2569" s="16">
        <v>21.33</v>
      </c>
      <c r="M2569" s="16">
        <v>22.83</v>
      </c>
    </row>
    <row r="2570" spans="1:13" outlineLevel="2" x14ac:dyDescent="0.2"/>
    <row r="2571" spans="1:13" ht="33.75" outlineLevel="3" x14ac:dyDescent="0.2">
      <c r="B2571" s="4" t="str">
        <f>"0009210009"</f>
        <v>0009210009</v>
      </c>
      <c r="C2571" s="5" t="str">
        <f>"017789"</f>
        <v>017789</v>
      </c>
      <c r="D2571" s="12" t="s">
        <v>968</v>
      </c>
      <c r="E2571" s="14" t="s">
        <v>146</v>
      </c>
      <c r="F2571" s="12" t="s">
        <v>3</v>
      </c>
      <c r="G2571" s="15">
        <v>9</v>
      </c>
      <c r="H2571" s="12" t="s">
        <v>969</v>
      </c>
      <c r="I2571" s="12" t="s">
        <v>75</v>
      </c>
      <c r="J2571" s="2" t="s">
        <v>1400</v>
      </c>
      <c r="K2571" s="16">
        <v>20.16</v>
      </c>
      <c r="L2571" s="16">
        <v>30.95</v>
      </c>
      <c r="M2571" s="16">
        <v>32.450000000000003</v>
      </c>
    </row>
    <row r="2572" spans="1:13" ht="33.75" outlineLevel="3" x14ac:dyDescent="0.2">
      <c r="B2572" s="4" t="str">
        <f>"0009210009"</f>
        <v>0009210009</v>
      </c>
      <c r="C2572" s="5" t="str">
        <f>"015827"</f>
        <v>015827</v>
      </c>
      <c r="D2572" s="12" t="s">
        <v>968</v>
      </c>
      <c r="E2572" s="14" t="s">
        <v>146</v>
      </c>
      <c r="F2572" s="12" t="s">
        <v>3</v>
      </c>
      <c r="G2572" s="15">
        <v>9</v>
      </c>
      <c r="H2572" s="12" t="s">
        <v>969</v>
      </c>
      <c r="I2572" s="12" t="s">
        <v>970</v>
      </c>
      <c r="K2572" s="16">
        <v>20.16</v>
      </c>
      <c r="L2572" s="16">
        <v>30.95</v>
      </c>
      <c r="M2572" s="16">
        <v>32.450000000000003</v>
      </c>
    </row>
    <row r="2573" spans="1:13" ht="33.75" outlineLevel="3" x14ac:dyDescent="0.2">
      <c r="B2573" s="4" t="str">
        <f>"0009210009"</f>
        <v>0009210009</v>
      </c>
      <c r="C2573" s="5" t="str">
        <f>"432486"</f>
        <v>432486</v>
      </c>
      <c r="D2573" s="12" t="s">
        <v>971</v>
      </c>
      <c r="E2573" s="14" t="s">
        <v>146</v>
      </c>
      <c r="F2573" s="12" t="s">
        <v>3</v>
      </c>
      <c r="G2573" s="15">
        <v>9</v>
      </c>
      <c r="H2573" s="12" t="s">
        <v>969</v>
      </c>
      <c r="I2573" s="12" t="s">
        <v>70</v>
      </c>
      <c r="K2573" s="16">
        <v>20.16</v>
      </c>
      <c r="L2573" s="16">
        <v>30.95</v>
      </c>
      <c r="M2573" s="16">
        <v>32.450000000000003</v>
      </c>
    </row>
    <row r="2574" spans="1:13" outlineLevel="2" x14ac:dyDescent="0.2"/>
    <row r="2575" spans="1:13" ht="33.75" outlineLevel="3" x14ac:dyDescent="0.2">
      <c r="B2575" s="4" t="str">
        <f>"0009210012"</f>
        <v>0009210012</v>
      </c>
      <c r="C2575" s="5" t="str">
        <f>"009083"</f>
        <v>009083</v>
      </c>
      <c r="D2575" s="12" t="s">
        <v>968</v>
      </c>
      <c r="E2575" s="14" t="s">
        <v>146</v>
      </c>
      <c r="F2575" s="12" t="s">
        <v>3</v>
      </c>
      <c r="G2575" s="15">
        <v>12</v>
      </c>
      <c r="H2575" s="12" t="s">
        <v>969</v>
      </c>
      <c r="I2575" s="12" t="s">
        <v>970</v>
      </c>
      <c r="K2575" s="16">
        <v>26.9</v>
      </c>
      <c r="L2575" s="16">
        <v>40.96</v>
      </c>
      <c r="M2575" s="16">
        <v>42.96</v>
      </c>
    </row>
    <row r="2576" spans="1:13" ht="33.75" outlineLevel="3" x14ac:dyDescent="0.2">
      <c r="B2576" s="4" t="str">
        <f>"0009210012"</f>
        <v>0009210012</v>
      </c>
      <c r="C2576" s="5" t="str">
        <f>"503184"</f>
        <v>503184</v>
      </c>
      <c r="D2576" s="12" t="s">
        <v>971</v>
      </c>
      <c r="E2576" s="14" t="s">
        <v>146</v>
      </c>
      <c r="F2576" s="12" t="s">
        <v>3</v>
      </c>
      <c r="G2576" s="15">
        <v>12</v>
      </c>
      <c r="H2576" s="12" t="s">
        <v>969</v>
      </c>
      <c r="I2576" s="12" t="s">
        <v>70</v>
      </c>
      <c r="K2576" s="16">
        <v>26.9</v>
      </c>
      <c r="L2576" s="16">
        <v>40.96</v>
      </c>
      <c r="M2576" s="16">
        <v>42.96</v>
      </c>
    </row>
    <row r="2577" spans="1:13" outlineLevel="2" x14ac:dyDescent="0.2">
      <c r="A2577" s="3" t="s">
        <v>1545</v>
      </c>
    </row>
    <row r="2578" spans="1:13" ht="33.75" outlineLevel="3" x14ac:dyDescent="0.2">
      <c r="B2578" s="4" t="str">
        <f>"0014700006"</f>
        <v>0014700006</v>
      </c>
      <c r="C2578" s="5" t="str">
        <f>"553339"</f>
        <v>553339</v>
      </c>
      <c r="D2578" s="12" t="s">
        <v>1321</v>
      </c>
      <c r="E2578" s="14" t="s">
        <v>98</v>
      </c>
      <c r="F2578" s="12" t="s">
        <v>3</v>
      </c>
      <c r="G2578" s="15">
        <v>6</v>
      </c>
      <c r="H2578" s="12" t="s">
        <v>1320</v>
      </c>
      <c r="I2578" s="12" t="s">
        <v>240</v>
      </c>
      <c r="K2578" s="16">
        <v>10.119999999999999</v>
      </c>
      <c r="L2578" s="16">
        <v>16.04</v>
      </c>
      <c r="M2578" s="16">
        <v>15.44</v>
      </c>
    </row>
    <row r="2579" spans="1:13" ht="33.75" outlineLevel="3" x14ac:dyDescent="0.2">
      <c r="B2579" s="4" t="str">
        <f>"0014700006"</f>
        <v>0014700006</v>
      </c>
      <c r="C2579" s="5" t="str">
        <f>"187017"</f>
        <v>187017</v>
      </c>
      <c r="D2579" s="12" t="s">
        <v>1319</v>
      </c>
      <c r="E2579" s="14" t="s">
        <v>98</v>
      </c>
      <c r="F2579" s="12" t="s">
        <v>3</v>
      </c>
      <c r="G2579" s="15">
        <v>6</v>
      </c>
      <c r="H2579" s="12" t="s">
        <v>1320</v>
      </c>
      <c r="I2579" s="12" t="s">
        <v>408</v>
      </c>
      <c r="K2579" s="16">
        <v>8.74</v>
      </c>
      <c r="L2579" s="16">
        <v>13.94</v>
      </c>
      <c r="M2579" s="16">
        <v>15.44</v>
      </c>
    </row>
    <row r="2580" spans="1:13" outlineLevel="2" x14ac:dyDescent="0.2"/>
    <row r="2581" spans="1:13" ht="33.75" outlineLevel="3" x14ac:dyDescent="0.2">
      <c r="B2581" s="4" t="str">
        <f>"0014700018"</f>
        <v>0014700018</v>
      </c>
      <c r="C2581" s="5" t="str">
        <f>"553206"</f>
        <v>553206</v>
      </c>
      <c r="D2581" s="12" t="s">
        <v>1321</v>
      </c>
      <c r="E2581" s="14" t="s">
        <v>98</v>
      </c>
      <c r="F2581" s="12" t="s">
        <v>3</v>
      </c>
      <c r="G2581" s="15">
        <v>18</v>
      </c>
      <c r="H2581" s="12" t="s">
        <v>1320</v>
      </c>
      <c r="I2581" s="12" t="s">
        <v>240</v>
      </c>
      <c r="K2581" s="16">
        <v>35.380000000000003</v>
      </c>
      <c r="L2581" s="16">
        <v>53.55</v>
      </c>
      <c r="M2581" s="16">
        <v>52.95</v>
      </c>
    </row>
    <row r="2582" spans="1:13" ht="33.75" outlineLevel="3" x14ac:dyDescent="0.2">
      <c r="B2582" s="4" t="str">
        <f>"0014700018"</f>
        <v>0014700018</v>
      </c>
      <c r="C2582" s="5" t="str">
        <f>"557758"</f>
        <v>557758</v>
      </c>
      <c r="D2582" s="12" t="s">
        <v>1319</v>
      </c>
      <c r="E2582" s="14" t="s">
        <v>98</v>
      </c>
      <c r="F2582" s="12" t="s">
        <v>3</v>
      </c>
      <c r="G2582" s="15">
        <v>18</v>
      </c>
      <c r="H2582" s="12" t="s">
        <v>1320</v>
      </c>
      <c r="I2582" s="12" t="s">
        <v>408</v>
      </c>
      <c r="K2582" s="16">
        <v>33.630000000000003</v>
      </c>
      <c r="L2582" s="16">
        <v>50.95</v>
      </c>
      <c r="M2582" s="16">
        <v>52.95</v>
      </c>
    </row>
    <row r="2583" spans="1:13" outlineLevel="1" x14ac:dyDescent="0.2">
      <c r="A2583" s="3"/>
    </row>
    <row r="2584" spans="1:13" outlineLevel="2" x14ac:dyDescent="0.2">
      <c r="A2584" s="3" t="s">
        <v>1546</v>
      </c>
    </row>
    <row r="2585" spans="1:13" ht="33.75" outlineLevel="3" x14ac:dyDescent="0.2">
      <c r="B2585" s="4" t="str">
        <f>"0015000002"</f>
        <v>0015000002</v>
      </c>
      <c r="C2585" s="5" t="str">
        <f>"019808"</f>
        <v>019808</v>
      </c>
      <c r="D2585" s="12" t="s">
        <v>1328</v>
      </c>
      <c r="E2585" s="14" t="s">
        <v>136</v>
      </c>
      <c r="F2585" s="12" t="s">
        <v>3</v>
      </c>
      <c r="G2585" s="15">
        <v>2</v>
      </c>
      <c r="H2585" s="12" t="s">
        <v>1329</v>
      </c>
      <c r="I2585" s="12" t="s">
        <v>636</v>
      </c>
      <c r="K2585" s="16">
        <v>4.12</v>
      </c>
      <c r="L2585" s="16">
        <v>6.57</v>
      </c>
      <c r="M2585" s="16">
        <v>7.09</v>
      </c>
    </row>
    <row r="2586" spans="1:13" ht="33.75" outlineLevel="3" x14ac:dyDescent="0.2">
      <c r="B2586" s="4" t="str">
        <f>"0015000002"</f>
        <v>0015000002</v>
      </c>
      <c r="C2586" s="5" t="str">
        <f>"452930"</f>
        <v>452930</v>
      </c>
      <c r="D2586" s="12" t="s">
        <v>1330</v>
      </c>
      <c r="E2586" s="14" t="s">
        <v>136</v>
      </c>
      <c r="F2586" s="12" t="s">
        <v>3</v>
      </c>
      <c r="G2586" s="15">
        <v>2</v>
      </c>
      <c r="H2586" s="12" t="s">
        <v>1329</v>
      </c>
      <c r="I2586" s="12" t="s">
        <v>70</v>
      </c>
      <c r="K2586" s="16">
        <v>3.5</v>
      </c>
      <c r="L2586" s="16">
        <v>5.59</v>
      </c>
      <c r="M2586" s="16">
        <v>7.09</v>
      </c>
    </row>
    <row r="2587" spans="1:13" outlineLevel="2" x14ac:dyDescent="0.2"/>
    <row r="2588" spans="1:13" ht="33.75" outlineLevel="3" x14ac:dyDescent="0.2">
      <c r="B2588" s="4" t="str">
        <f>"0015000006"</f>
        <v>0015000006</v>
      </c>
      <c r="C2588" s="5" t="str">
        <f>"020053"</f>
        <v>020053</v>
      </c>
      <c r="D2588" s="12" t="s">
        <v>1328</v>
      </c>
      <c r="E2588" s="14" t="s">
        <v>136</v>
      </c>
      <c r="F2588" s="12" t="s">
        <v>3</v>
      </c>
      <c r="G2588" s="15">
        <v>6</v>
      </c>
      <c r="H2588" s="12" t="s">
        <v>1329</v>
      </c>
      <c r="I2588" s="12" t="s">
        <v>636</v>
      </c>
      <c r="K2588" s="16">
        <v>12.07</v>
      </c>
      <c r="L2588" s="16">
        <v>18.93</v>
      </c>
      <c r="M2588" s="16">
        <v>18.350000000000001</v>
      </c>
    </row>
    <row r="2589" spans="1:13" ht="33.75" outlineLevel="3" x14ac:dyDescent="0.2">
      <c r="B2589" s="4" t="str">
        <f>"0015000006"</f>
        <v>0015000006</v>
      </c>
      <c r="C2589" s="5" t="str">
        <f>"189199"</f>
        <v>189199</v>
      </c>
      <c r="D2589" s="12" t="s">
        <v>1331</v>
      </c>
      <c r="E2589" s="14" t="s">
        <v>136</v>
      </c>
      <c r="F2589" s="12" t="s">
        <v>3</v>
      </c>
      <c r="G2589" s="15">
        <v>6</v>
      </c>
      <c r="H2589" s="12" t="s">
        <v>1329</v>
      </c>
      <c r="I2589" s="12" t="s">
        <v>355</v>
      </c>
      <c r="K2589" s="16">
        <v>10.67</v>
      </c>
      <c r="L2589" s="16">
        <v>16.850000000000001</v>
      </c>
      <c r="M2589" s="16">
        <v>18.350000000000001</v>
      </c>
    </row>
    <row r="2590" spans="1:13" ht="33.75" outlineLevel="3" x14ac:dyDescent="0.2">
      <c r="B2590" s="4" t="str">
        <f>"0015000006"</f>
        <v>0015000006</v>
      </c>
      <c r="C2590" s="5" t="str">
        <f>"160694"</f>
        <v>160694</v>
      </c>
      <c r="D2590" s="12" t="s">
        <v>1330</v>
      </c>
      <c r="E2590" s="14" t="s">
        <v>136</v>
      </c>
      <c r="F2590" s="12" t="s">
        <v>3</v>
      </c>
      <c r="G2590" s="15">
        <v>6</v>
      </c>
      <c r="H2590" s="12" t="s">
        <v>1329</v>
      </c>
      <c r="I2590" s="12" t="s">
        <v>70</v>
      </c>
      <c r="J2590" s="2" t="s">
        <v>1400</v>
      </c>
      <c r="K2590" s="16">
        <v>9.6999999999999993</v>
      </c>
      <c r="L2590" s="16">
        <v>15.42</v>
      </c>
      <c r="M2590" s="16">
        <v>18.350000000000001</v>
      </c>
    </row>
    <row r="2591" spans="1:13" outlineLevel="1" x14ac:dyDescent="0.2">
      <c r="A2591" s="3"/>
    </row>
    <row r="2592" spans="1:13" outlineLevel="2" x14ac:dyDescent="0.2">
      <c r="A2592" s="3" t="s">
        <v>1547</v>
      </c>
    </row>
    <row r="2593" spans="1:13" ht="33.75" outlineLevel="3" x14ac:dyDescent="0.2">
      <c r="B2593" s="4" t="str">
        <f>"0003410100"</f>
        <v>0003410100</v>
      </c>
      <c r="C2593" s="5" t="str">
        <f>"386616"</f>
        <v>386616</v>
      </c>
      <c r="D2593" s="12" t="s">
        <v>439</v>
      </c>
      <c r="E2593" s="14" t="s">
        <v>440</v>
      </c>
      <c r="F2593" s="12" t="s">
        <v>441</v>
      </c>
      <c r="G2593" s="15">
        <v>100</v>
      </c>
      <c r="H2593" s="12" t="s">
        <v>442</v>
      </c>
      <c r="I2593" s="12" t="s">
        <v>79</v>
      </c>
      <c r="J2593" s="2" t="s">
        <v>1400</v>
      </c>
      <c r="K2593" s="16">
        <v>16.2</v>
      </c>
      <c r="L2593" s="16">
        <v>25.07</v>
      </c>
      <c r="M2593" s="16">
        <v>26.57</v>
      </c>
    </row>
    <row r="2594" spans="1:13" ht="33.75" outlineLevel="3" x14ac:dyDescent="0.2">
      <c r="B2594" s="4" t="str">
        <f>"0003410100"</f>
        <v>0003410100</v>
      </c>
      <c r="C2594" s="5" t="str">
        <f>"106656"</f>
        <v>106656</v>
      </c>
      <c r="D2594" s="12" t="s">
        <v>443</v>
      </c>
      <c r="E2594" s="14" t="s">
        <v>444</v>
      </c>
      <c r="F2594" s="12" t="s">
        <v>441</v>
      </c>
      <c r="G2594" s="15">
        <v>100</v>
      </c>
      <c r="H2594" s="12" t="s">
        <v>442</v>
      </c>
      <c r="I2594" s="12" t="s">
        <v>170</v>
      </c>
      <c r="K2594" s="16">
        <v>16.2</v>
      </c>
      <c r="L2594" s="16">
        <v>25.07</v>
      </c>
      <c r="M2594" s="16">
        <v>26.57</v>
      </c>
    </row>
    <row r="2595" spans="1:13" ht="33.75" outlineLevel="3" x14ac:dyDescent="0.2">
      <c r="B2595" s="4" t="str">
        <f>"0003410100"</f>
        <v>0003410100</v>
      </c>
      <c r="C2595" s="5" t="str">
        <f>"119068"</f>
        <v>119068</v>
      </c>
      <c r="D2595" s="12" t="s">
        <v>445</v>
      </c>
      <c r="E2595" s="14" t="s">
        <v>440</v>
      </c>
      <c r="F2595" s="12" t="s">
        <v>441</v>
      </c>
      <c r="G2595" s="15">
        <v>100</v>
      </c>
      <c r="H2595" s="12" t="s">
        <v>442</v>
      </c>
      <c r="I2595" s="12" t="s">
        <v>70</v>
      </c>
      <c r="K2595" s="16">
        <v>16.2</v>
      </c>
      <c r="L2595" s="16">
        <v>25.07</v>
      </c>
      <c r="M2595" s="16">
        <v>26.57</v>
      </c>
    </row>
    <row r="2596" spans="1:13" outlineLevel="2" x14ac:dyDescent="0.2"/>
    <row r="2597" spans="1:13" ht="33.75" outlineLevel="3" x14ac:dyDescent="0.2">
      <c r="B2597" s="4" t="str">
        <f>"0003420100"</f>
        <v>0003420100</v>
      </c>
      <c r="C2597" s="5" t="str">
        <f>"002419"</f>
        <v>002419</v>
      </c>
      <c r="D2597" s="12" t="s">
        <v>446</v>
      </c>
      <c r="E2597" s="14" t="s">
        <v>447</v>
      </c>
      <c r="F2597" s="12" t="s">
        <v>73</v>
      </c>
      <c r="G2597" s="15">
        <v>100</v>
      </c>
      <c r="H2597" s="12" t="s">
        <v>442</v>
      </c>
      <c r="I2597" s="12" t="s">
        <v>75</v>
      </c>
      <c r="K2597" s="16">
        <v>14.37</v>
      </c>
      <c r="L2597" s="16">
        <v>22.35</v>
      </c>
      <c r="M2597" s="16">
        <v>23.85</v>
      </c>
    </row>
    <row r="2598" spans="1:13" ht="33.75" outlineLevel="3" x14ac:dyDescent="0.2">
      <c r="B2598" s="4" t="str">
        <f>"0003420100"</f>
        <v>0003420100</v>
      </c>
      <c r="C2598" s="5" t="str">
        <f>"472313"</f>
        <v>472313</v>
      </c>
      <c r="D2598" s="12" t="s">
        <v>446</v>
      </c>
      <c r="E2598" s="14" t="s">
        <v>447</v>
      </c>
      <c r="F2598" s="12" t="s">
        <v>73</v>
      </c>
      <c r="G2598" s="15">
        <v>100</v>
      </c>
      <c r="H2598" s="12" t="s">
        <v>442</v>
      </c>
      <c r="I2598" s="12" t="s">
        <v>170</v>
      </c>
      <c r="K2598" s="16">
        <v>14.37</v>
      </c>
      <c r="L2598" s="16">
        <v>22.35</v>
      </c>
      <c r="M2598" s="16">
        <v>23.85</v>
      </c>
    </row>
    <row r="2599" spans="1:13" ht="33.75" outlineLevel="3" x14ac:dyDescent="0.2">
      <c r="B2599" s="4" t="str">
        <f>"0003420100"</f>
        <v>0003420100</v>
      </c>
      <c r="C2599" s="5" t="str">
        <f>"552182"</f>
        <v>552182</v>
      </c>
      <c r="D2599" s="12" t="s">
        <v>448</v>
      </c>
      <c r="E2599" s="14" t="s">
        <v>449</v>
      </c>
      <c r="F2599" s="12" t="s">
        <v>73</v>
      </c>
      <c r="G2599" s="15">
        <v>100</v>
      </c>
      <c r="H2599" s="12" t="s">
        <v>442</v>
      </c>
      <c r="I2599" s="12" t="s">
        <v>58</v>
      </c>
      <c r="K2599" s="16">
        <v>14.37</v>
      </c>
      <c r="L2599" s="16">
        <v>22.35</v>
      </c>
      <c r="M2599" s="16">
        <v>23.85</v>
      </c>
    </row>
    <row r="2600" spans="1:13" outlineLevel="1" x14ac:dyDescent="0.2">
      <c r="A2600" s="3"/>
    </row>
    <row r="2601" spans="1:13" outlineLevel="2" x14ac:dyDescent="0.2">
      <c r="A2601" s="3" t="s">
        <v>1548</v>
      </c>
    </row>
    <row r="2602" spans="1:13" ht="45" outlineLevel="3" x14ac:dyDescent="0.2">
      <c r="B2602" s="4" t="str">
        <f>"0008050100"</f>
        <v>0008050100</v>
      </c>
      <c r="C2602" s="5" t="str">
        <f>"015652"</f>
        <v>015652</v>
      </c>
      <c r="D2602" s="12" t="s">
        <v>866</v>
      </c>
      <c r="E2602" s="14" t="s">
        <v>867</v>
      </c>
      <c r="F2602" s="12" t="s">
        <v>3</v>
      </c>
      <c r="G2602" s="15">
        <v>100</v>
      </c>
      <c r="H2602" s="12" t="s">
        <v>868</v>
      </c>
      <c r="I2602" s="12" t="s">
        <v>58</v>
      </c>
      <c r="K2602" s="16">
        <v>51.28</v>
      </c>
      <c r="L2602" s="16">
        <v>76.599999999999994</v>
      </c>
      <c r="M2602" s="16">
        <v>60.19</v>
      </c>
    </row>
    <row r="2603" spans="1:13" ht="45" outlineLevel="3" x14ac:dyDescent="0.2">
      <c r="B2603" s="4" t="str">
        <f>"0008050100"</f>
        <v>0008050100</v>
      </c>
      <c r="C2603" s="5" t="str">
        <f>"521507"</f>
        <v>521507</v>
      </c>
      <c r="D2603" s="12" t="s">
        <v>870</v>
      </c>
      <c r="E2603" s="14" t="s">
        <v>867</v>
      </c>
      <c r="F2603" s="12" t="s">
        <v>3</v>
      </c>
      <c r="G2603" s="15">
        <v>100</v>
      </c>
      <c r="H2603" s="12" t="s">
        <v>868</v>
      </c>
      <c r="I2603" s="12" t="s">
        <v>104</v>
      </c>
      <c r="K2603" s="16">
        <v>40.49</v>
      </c>
      <c r="L2603" s="16">
        <v>61.14</v>
      </c>
      <c r="M2603" s="16">
        <v>60.19</v>
      </c>
    </row>
    <row r="2604" spans="1:13" ht="45" outlineLevel="3" x14ac:dyDescent="0.2">
      <c r="B2604" s="4" t="str">
        <f>"0008050100"</f>
        <v>0008050100</v>
      </c>
      <c r="C2604" s="5" t="str">
        <f>"512236"</f>
        <v>512236</v>
      </c>
      <c r="D2604" s="12" t="s">
        <v>869</v>
      </c>
      <c r="E2604" s="14" t="s">
        <v>867</v>
      </c>
      <c r="F2604" s="12" t="s">
        <v>3</v>
      </c>
      <c r="G2604" s="15">
        <v>100</v>
      </c>
      <c r="H2604" s="12" t="s">
        <v>868</v>
      </c>
      <c r="I2604" s="12" t="s">
        <v>710</v>
      </c>
      <c r="K2604" s="16">
        <v>38.5</v>
      </c>
      <c r="L2604" s="16">
        <v>58.19</v>
      </c>
      <c r="M2604" s="16">
        <v>60.19</v>
      </c>
    </row>
    <row r="2605" spans="1:13" outlineLevel="2" x14ac:dyDescent="0.2"/>
    <row r="2606" spans="1:13" ht="45" outlineLevel="3" x14ac:dyDescent="0.2">
      <c r="B2606" s="4" t="str">
        <f>"0008100100"</f>
        <v>0008100100</v>
      </c>
      <c r="C2606" s="5" t="str">
        <f>"015718"</f>
        <v>015718</v>
      </c>
      <c r="D2606" s="12" t="s">
        <v>866</v>
      </c>
      <c r="E2606" s="14" t="s">
        <v>871</v>
      </c>
      <c r="F2606" s="12" t="s">
        <v>3</v>
      </c>
      <c r="G2606" s="15">
        <v>100</v>
      </c>
      <c r="H2606" s="12" t="s">
        <v>868</v>
      </c>
      <c r="I2606" s="12" t="s">
        <v>58</v>
      </c>
      <c r="K2606" s="16">
        <v>51.28</v>
      </c>
      <c r="L2606" s="16">
        <v>76.599999999999994</v>
      </c>
      <c r="M2606" s="16">
        <v>56.18</v>
      </c>
    </row>
    <row r="2607" spans="1:13" ht="45" outlineLevel="3" x14ac:dyDescent="0.2">
      <c r="B2607" s="4" t="str">
        <f>"0008100100"</f>
        <v>0008100100</v>
      </c>
      <c r="C2607" s="5" t="str">
        <f>"046132"</f>
        <v>046132</v>
      </c>
      <c r="D2607" s="12" t="s">
        <v>866</v>
      </c>
      <c r="E2607" s="14" t="s">
        <v>871</v>
      </c>
      <c r="F2607" s="12" t="s">
        <v>3</v>
      </c>
      <c r="G2607" s="15">
        <v>100</v>
      </c>
      <c r="H2607" s="12" t="s">
        <v>868</v>
      </c>
      <c r="I2607" s="12" t="s">
        <v>75</v>
      </c>
      <c r="J2607" s="2" t="s">
        <v>1400</v>
      </c>
      <c r="K2607" s="16">
        <v>43.12</v>
      </c>
      <c r="L2607" s="16">
        <v>65.040000000000006</v>
      </c>
      <c r="M2607" s="16">
        <v>56.18</v>
      </c>
    </row>
    <row r="2608" spans="1:13" ht="45" outlineLevel="3" x14ac:dyDescent="0.2">
      <c r="B2608" s="4" t="str">
        <f>"0008100100"</f>
        <v>0008100100</v>
      </c>
      <c r="C2608" s="5" t="str">
        <f>"472838"</f>
        <v>472838</v>
      </c>
      <c r="D2608" s="12" t="s">
        <v>870</v>
      </c>
      <c r="E2608" s="14" t="s">
        <v>871</v>
      </c>
      <c r="F2608" s="12" t="s">
        <v>3</v>
      </c>
      <c r="G2608" s="15">
        <v>100</v>
      </c>
      <c r="H2608" s="12" t="s">
        <v>868</v>
      </c>
      <c r="I2608" s="12" t="s">
        <v>104</v>
      </c>
      <c r="K2608" s="16">
        <v>37.4</v>
      </c>
      <c r="L2608" s="16">
        <v>56.55</v>
      </c>
      <c r="M2608" s="16">
        <v>56.18</v>
      </c>
    </row>
    <row r="2609" spans="2:13" ht="45" outlineLevel="3" x14ac:dyDescent="0.2">
      <c r="B2609" s="4" t="str">
        <f>"0008100100"</f>
        <v>0008100100</v>
      </c>
      <c r="C2609" s="5" t="str">
        <f>"416317"</f>
        <v>416317</v>
      </c>
      <c r="D2609" s="12" t="s">
        <v>869</v>
      </c>
      <c r="E2609" s="14" t="s">
        <v>871</v>
      </c>
      <c r="F2609" s="12" t="s">
        <v>3</v>
      </c>
      <c r="G2609" s="15">
        <v>100</v>
      </c>
      <c r="H2609" s="12" t="s">
        <v>868</v>
      </c>
      <c r="I2609" s="12" t="s">
        <v>710</v>
      </c>
      <c r="K2609" s="16">
        <v>35.799999999999997</v>
      </c>
      <c r="L2609" s="16">
        <v>54.18</v>
      </c>
      <c r="M2609" s="16">
        <v>56.18</v>
      </c>
    </row>
    <row r="2610" spans="2:13" outlineLevel="2" x14ac:dyDescent="0.2"/>
    <row r="2611" spans="2:13" ht="45" outlineLevel="3" x14ac:dyDescent="0.2">
      <c r="B2611" s="4" t="str">
        <f>"0008110100"</f>
        <v>0008110100</v>
      </c>
      <c r="C2611" s="5" t="str">
        <f>"015663"</f>
        <v>015663</v>
      </c>
      <c r="D2611" s="12" t="s">
        <v>866</v>
      </c>
      <c r="E2611" s="14" t="s">
        <v>872</v>
      </c>
      <c r="F2611" s="12" t="s">
        <v>3</v>
      </c>
      <c r="G2611" s="15">
        <v>100</v>
      </c>
      <c r="H2611" s="12" t="s">
        <v>868</v>
      </c>
      <c r="I2611" s="12" t="s">
        <v>58</v>
      </c>
      <c r="K2611" s="16">
        <v>51.28</v>
      </c>
      <c r="L2611" s="16">
        <v>76.599999999999994</v>
      </c>
      <c r="M2611" s="16">
        <v>57.66</v>
      </c>
    </row>
    <row r="2612" spans="2:13" ht="45" outlineLevel="3" x14ac:dyDescent="0.2">
      <c r="B2612" s="4" t="str">
        <f>"0008110100"</f>
        <v>0008110100</v>
      </c>
      <c r="C2612" s="5" t="str">
        <f>"526342"</f>
        <v>526342</v>
      </c>
      <c r="D2612" s="12" t="s">
        <v>870</v>
      </c>
      <c r="E2612" s="14" t="s">
        <v>872</v>
      </c>
      <c r="F2612" s="12" t="s">
        <v>3</v>
      </c>
      <c r="G2612" s="15">
        <v>100</v>
      </c>
      <c r="H2612" s="12" t="s">
        <v>868</v>
      </c>
      <c r="I2612" s="12" t="s">
        <v>104</v>
      </c>
      <c r="K2612" s="16">
        <v>38.35</v>
      </c>
      <c r="L2612" s="16">
        <v>57.96</v>
      </c>
      <c r="M2612" s="16">
        <v>57.66</v>
      </c>
    </row>
    <row r="2613" spans="2:13" ht="45" outlineLevel="3" x14ac:dyDescent="0.2">
      <c r="B2613" s="4" t="str">
        <f>"0008110100"</f>
        <v>0008110100</v>
      </c>
      <c r="C2613" s="5" t="str">
        <f>"460549"</f>
        <v>460549</v>
      </c>
      <c r="D2613" s="12" t="s">
        <v>869</v>
      </c>
      <c r="E2613" s="14" t="s">
        <v>872</v>
      </c>
      <c r="F2613" s="12" t="s">
        <v>3</v>
      </c>
      <c r="G2613" s="15">
        <v>100</v>
      </c>
      <c r="H2613" s="12" t="s">
        <v>868</v>
      </c>
      <c r="I2613" s="12" t="s">
        <v>710</v>
      </c>
      <c r="K2613" s="16">
        <v>36.799999999999997</v>
      </c>
      <c r="L2613" s="16">
        <v>55.66</v>
      </c>
      <c r="M2613" s="16">
        <v>57.66</v>
      </c>
    </row>
    <row r="2614" spans="2:13" outlineLevel="2" x14ac:dyDescent="0.2"/>
    <row r="2615" spans="2:13" ht="45" outlineLevel="3" x14ac:dyDescent="0.2">
      <c r="B2615" s="4" t="str">
        <f>"0012710100"</f>
        <v>0012710100</v>
      </c>
      <c r="C2615" s="5" t="str">
        <f>"032157"</f>
        <v>032157</v>
      </c>
      <c r="D2615" s="12" t="s">
        <v>866</v>
      </c>
      <c r="E2615" s="14" t="s">
        <v>1216</v>
      </c>
      <c r="F2615" s="12" t="s">
        <v>3</v>
      </c>
      <c r="G2615" s="15">
        <v>100</v>
      </c>
      <c r="H2615" s="12" t="s">
        <v>868</v>
      </c>
      <c r="I2615" s="12" t="s">
        <v>104</v>
      </c>
      <c r="K2615" s="16">
        <v>51.28</v>
      </c>
      <c r="L2615" s="16">
        <v>76.599999999999994</v>
      </c>
      <c r="M2615" s="16">
        <v>78.599999999999994</v>
      </c>
    </row>
    <row r="2616" spans="2:13" ht="45" outlineLevel="3" x14ac:dyDescent="0.2">
      <c r="B2616" s="4" t="str">
        <f>"0012710100"</f>
        <v>0012710100</v>
      </c>
      <c r="C2616" s="5" t="str">
        <f>"566299"</f>
        <v>566299</v>
      </c>
      <c r="D2616" s="12" t="s">
        <v>870</v>
      </c>
      <c r="E2616" s="14" t="s">
        <v>1216</v>
      </c>
      <c r="F2616" s="12" t="s">
        <v>3</v>
      </c>
      <c r="G2616" s="15">
        <v>100</v>
      </c>
      <c r="H2616" s="12" t="s">
        <v>868</v>
      </c>
      <c r="I2616" s="12" t="s">
        <v>104</v>
      </c>
      <c r="K2616" s="16">
        <v>51.28</v>
      </c>
      <c r="L2616" s="16">
        <v>76.599999999999994</v>
      </c>
      <c r="M2616" s="16">
        <v>78.599999999999994</v>
      </c>
    </row>
    <row r="2617" spans="2:13" outlineLevel="2" x14ac:dyDescent="0.2"/>
    <row r="2618" spans="2:13" ht="45" outlineLevel="3" x14ac:dyDescent="0.2">
      <c r="B2618" s="4" t="str">
        <f>"0012720100"</f>
        <v>0012720100</v>
      </c>
      <c r="C2618" s="5" t="str">
        <f>"140974"</f>
        <v>140974</v>
      </c>
      <c r="D2618" s="12" t="s">
        <v>866</v>
      </c>
      <c r="E2618" s="14" t="s">
        <v>1217</v>
      </c>
      <c r="F2618" s="12" t="s">
        <v>3</v>
      </c>
      <c r="G2618" s="15">
        <v>100</v>
      </c>
      <c r="H2618" s="12" t="s">
        <v>868</v>
      </c>
      <c r="I2618" s="12" t="s">
        <v>104</v>
      </c>
      <c r="K2618" s="16">
        <v>51.28</v>
      </c>
      <c r="L2618" s="16">
        <v>76.599999999999994</v>
      </c>
      <c r="M2618" s="16">
        <v>57.66</v>
      </c>
    </row>
    <row r="2619" spans="2:13" ht="45" outlineLevel="3" x14ac:dyDescent="0.2">
      <c r="B2619" s="4" t="str">
        <f>"0012720100"</f>
        <v>0012720100</v>
      </c>
      <c r="C2619" s="5" t="str">
        <f>"098578"</f>
        <v>098578</v>
      </c>
      <c r="D2619" s="12" t="s">
        <v>870</v>
      </c>
      <c r="E2619" s="14" t="s">
        <v>1217</v>
      </c>
      <c r="F2619" s="12" t="s">
        <v>3</v>
      </c>
      <c r="G2619" s="15">
        <v>100</v>
      </c>
      <c r="H2619" s="12" t="s">
        <v>868</v>
      </c>
      <c r="I2619" s="12" t="s">
        <v>104</v>
      </c>
      <c r="K2619" s="16">
        <v>38.35</v>
      </c>
      <c r="L2619" s="16">
        <v>57.96</v>
      </c>
      <c r="M2619" s="16">
        <v>57.66</v>
      </c>
    </row>
    <row r="2620" spans="2:13" ht="45" outlineLevel="3" x14ac:dyDescent="0.2">
      <c r="B2620" s="4" t="str">
        <f>"0012720100"</f>
        <v>0012720100</v>
      </c>
      <c r="C2620" s="5" t="str">
        <f>"424054"</f>
        <v>424054</v>
      </c>
      <c r="D2620" s="12" t="s">
        <v>869</v>
      </c>
      <c r="E2620" s="14" t="s">
        <v>1217</v>
      </c>
      <c r="F2620" s="12" t="s">
        <v>3</v>
      </c>
      <c r="G2620" s="15">
        <v>100</v>
      </c>
      <c r="H2620" s="12" t="s">
        <v>868</v>
      </c>
      <c r="I2620" s="12" t="s">
        <v>710</v>
      </c>
      <c r="K2620" s="16">
        <v>36.799999999999997</v>
      </c>
      <c r="L2620" s="16">
        <v>55.66</v>
      </c>
      <c r="M2620" s="16">
        <v>57.66</v>
      </c>
    </row>
    <row r="2621" spans="2:13" outlineLevel="2" x14ac:dyDescent="0.2"/>
    <row r="2622" spans="2:13" ht="45" outlineLevel="3" x14ac:dyDescent="0.2">
      <c r="B2622" s="4" t="str">
        <f>"0012730100"</f>
        <v>0012730100</v>
      </c>
      <c r="C2622" s="5" t="str">
        <f>"032124"</f>
        <v>032124</v>
      </c>
      <c r="D2622" s="12" t="s">
        <v>866</v>
      </c>
      <c r="E2622" s="14" t="s">
        <v>1218</v>
      </c>
      <c r="F2622" s="12" t="s">
        <v>3</v>
      </c>
      <c r="G2622" s="15">
        <v>100</v>
      </c>
      <c r="H2622" s="12" t="s">
        <v>868</v>
      </c>
      <c r="I2622" s="12" t="s">
        <v>104</v>
      </c>
      <c r="K2622" s="16">
        <v>51.28</v>
      </c>
      <c r="L2622" s="16">
        <v>76.599999999999994</v>
      </c>
      <c r="M2622" s="16">
        <v>78.599999999999994</v>
      </c>
    </row>
    <row r="2623" spans="2:13" ht="45" outlineLevel="3" x14ac:dyDescent="0.2">
      <c r="B2623" s="4" t="str">
        <f>"0012730100"</f>
        <v>0012730100</v>
      </c>
      <c r="C2623" s="5" t="str">
        <f>"440709"</f>
        <v>440709</v>
      </c>
      <c r="D2623" s="12" t="s">
        <v>870</v>
      </c>
      <c r="E2623" s="14" t="s">
        <v>1218</v>
      </c>
      <c r="F2623" s="12" t="s">
        <v>3</v>
      </c>
      <c r="G2623" s="15">
        <v>100</v>
      </c>
      <c r="H2623" s="12" t="s">
        <v>868</v>
      </c>
      <c r="I2623" s="12" t="s">
        <v>104</v>
      </c>
      <c r="K2623" s="16">
        <v>51.28</v>
      </c>
      <c r="L2623" s="16">
        <v>76.599999999999994</v>
      </c>
      <c r="M2623" s="16">
        <v>78.599999999999994</v>
      </c>
    </row>
    <row r="2624" spans="2:13" outlineLevel="2" x14ac:dyDescent="0.2"/>
    <row r="2625" spans="1:13" ht="45" outlineLevel="3" x14ac:dyDescent="0.2">
      <c r="B2625" s="4" t="str">
        <f>"0014450100"</f>
        <v>0014450100</v>
      </c>
      <c r="C2625" s="5" t="str">
        <f>"491775"</f>
        <v>491775</v>
      </c>
      <c r="D2625" s="12" t="s">
        <v>866</v>
      </c>
      <c r="E2625" s="14" t="s">
        <v>1314</v>
      </c>
      <c r="F2625" s="12" t="s">
        <v>3</v>
      </c>
      <c r="G2625" s="15">
        <v>100</v>
      </c>
      <c r="H2625" s="12" t="s">
        <v>868</v>
      </c>
      <c r="I2625" s="12" t="s">
        <v>28</v>
      </c>
      <c r="K2625" s="16">
        <v>51.28</v>
      </c>
      <c r="L2625" s="16">
        <v>76.599999999999994</v>
      </c>
      <c r="M2625" s="16">
        <v>65.010000000000005</v>
      </c>
    </row>
    <row r="2626" spans="1:13" ht="45" outlineLevel="3" x14ac:dyDescent="0.2">
      <c r="B2626" s="4" t="str">
        <f>"0014450100"</f>
        <v>0014450100</v>
      </c>
      <c r="C2626" s="5" t="str">
        <f>"050035"</f>
        <v>050035</v>
      </c>
      <c r="D2626" s="12" t="s">
        <v>870</v>
      </c>
      <c r="E2626" s="14" t="s">
        <v>1314</v>
      </c>
      <c r="F2626" s="12" t="s">
        <v>3</v>
      </c>
      <c r="G2626" s="15">
        <v>100</v>
      </c>
      <c r="H2626" s="12" t="s">
        <v>868</v>
      </c>
      <c r="I2626" s="12" t="s">
        <v>28</v>
      </c>
      <c r="K2626" s="16">
        <v>43.35</v>
      </c>
      <c r="L2626" s="16">
        <v>65.38</v>
      </c>
      <c r="M2626" s="16">
        <v>65.010000000000005</v>
      </c>
    </row>
    <row r="2627" spans="1:13" ht="45" outlineLevel="3" x14ac:dyDescent="0.2">
      <c r="B2627" s="4" t="str">
        <f>"0014450100"</f>
        <v>0014450100</v>
      </c>
      <c r="C2627" s="5" t="str">
        <f>"064366"</f>
        <v>064366</v>
      </c>
      <c r="D2627" s="12" t="s">
        <v>869</v>
      </c>
      <c r="E2627" s="14" t="s">
        <v>1314</v>
      </c>
      <c r="F2627" s="12" t="s">
        <v>3</v>
      </c>
      <c r="G2627" s="15">
        <v>100</v>
      </c>
      <c r="H2627" s="12" t="s">
        <v>868</v>
      </c>
      <c r="I2627" s="12" t="s">
        <v>710</v>
      </c>
      <c r="K2627" s="16">
        <v>41.75</v>
      </c>
      <c r="L2627" s="16">
        <v>63.01</v>
      </c>
      <c r="M2627" s="16">
        <v>65.010000000000005</v>
      </c>
    </row>
    <row r="2628" spans="1:13" outlineLevel="1" x14ac:dyDescent="0.2">
      <c r="A2628" s="3"/>
    </row>
    <row r="2629" spans="1:13" outlineLevel="2" x14ac:dyDescent="0.2">
      <c r="A2629" s="3" t="s">
        <v>1549</v>
      </c>
    </row>
    <row r="2630" spans="1:13" outlineLevel="3" x14ac:dyDescent="0.2">
      <c r="B2630" s="4" t="str">
        <f>"0012290084"</f>
        <v>0012290084</v>
      </c>
      <c r="C2630" s="5" t="str">
        <f>"037287"</f>
        <v>037287</v>
      </c>
      <c r="D2630" s="12" t="s">
        <v>1195</v>
      </c>
      <c r="E2630" s="14" t="s">
        <v>649</v>
      </c>
      <c r="F2630" s="12" t="s">
        <v>441</v>
      </c>
      <c r="G2630" s="15">
        <v>84</v>
      </c>
      <c r="H2630" s="12" t="s">
        <v>1194</v>
      </c>
      <c r="I2630" s="12" t="s">
        <v>9</v>
      </c>
      <c r="K2630" s="16">
        <v>25.01</v>
      </c>
      <c r="L2630" s="16">
        <v>38.15</v>
      </c>
      <c r="M2630" s="16">
        <v>37.42</v>
      </c>
    </row>
    <row r="2631" spans="1:13" outlineLevel="3" x14ac:dyDescent="0.2">
      <c r="B2631" s="4" t="str">
        <f>"0012290084"</f>
        <v>0012290084</v>
      </c>
      <c r="C2631" s="5" t="str">
        <f>"579635"</f>
        <v>579635</v>
      </c>
      <c r="D2631" s="12" t="s">
        <v>1197</v>
      </c>
      <c r="E2631" s="14" t="s">
        <v>649</v>
      </c>
      <c r="F2631" s="12" t="s">
        <v>441</v>
      </c>
      <c r="G2631" s="15">
        <v>84</v>
      </c>
      <c r="H2631" s="12" t="s">
        <v>1194</v>
      </c>
      <c r="I2631" s="12" t="s">
        <v>30</v>
      </c>
      <c r="K2631" s="16">
        <v>25.01</v>
      </c>
      <c r="L2631" s="16">
        <v>38.15</v>
      </c>
      <c r="M2631" s="16">
        <v>37.42</v>
      </c>
    </row>
    <row r="2632" spans="1:13" ht="22.5" outlineLevel="3" x14ac:dyDescent="0.2">
      <c r="B2632" s="4" t="str">
        <f>"0012290084"</f>
        <v>0012290084</v>
      </c>
      <c r="C2632" s="5" t="str">
        <f>"596277"</f>
        <v>596277</v>
      </c>
      <c r="D2632" s="12" t="s">
        <v>1198</v>
      </c>
      <c r="E2632" s="14" t="s">
        <v>649</v>
      </c>
      <c r="F2632" s="12" t="s">
        <v>441</v>
      </c>
      <c r="G2632" s="15">
        <v>84</v>
      </c>
      <c r="H2632" s="12" t="s">
        <v>1194</v>
      </c>
      <c r="I2632" s="12" t="s">
        <v>104</v>
      </c>
      <c r="K2632" s="16">
        <v>25.01</v>
      </c>
      <c r="L2632" s="16">
        <v>38.15</v>
      </c>
      <c r="M2632" s="16">
        <v>37.42</v>
      </c>
    </row>
    <row r="2633" spans="1:13" outlineLevel="3" x14ac:dyDescent="0.2">
      <c r="B2633" s="4" t="str">
        <f>"0012290084"</f>
        <v>0012290084</v>
      </c>
      <c r="C2633" s="5" t="str">
        <f>"167662"</f>
        <v>167662</v>
      </c>
      <c r="D2633" s="12" t="s">
        <v>1193</v>
      </c>
      <c r="E2633" s="14" t="s">
        <v>649</v>
      </c>
      <c r="F2633" s="12" t="s">
        <v>441</v>
      </c>
      <c r="G2633" s="15">
        <v>84</v>
      </c>
      <c r="H2633" s="12" t="s">
        <v>1194</v>
      </c>
      <c r="I2633" s="12" t="s">
        <v>70</v>
      </c>
      <c r="J2633" s="2" t="s">
        <v>1400</v>
      </c>
      <c r="K2633" s="16">
        <v>25</v>
      </c>
      <c r="L2633" s="16">
        <v>38.14</v>
      </c>
      <c r="M2633" s="16">
        <v>37.42</v>
      </c>
    </row>
    <row r="2634" spans="1:13" ht="22.5" outlineLevel="3" x14ac:dyDescent="0.2">
      <c r="B2634" s="4" t="str">
        <f>"0012290084"</f>
        <v>0012290084</v>
      </c>
      <c r="C2634" s="5" t="str">
        <f>"501834"</f>
        <v>501834</v>
      </c>
      <c r="D2634" s="12" t="s">
        <v>1196</v>
      </c>
      <c r="E2634" s="14" t="s">
        <v>649</v>
      </c>
      <c r="F2634" s="12" t="s">
        <v>441</v>
      </c>
      <c r="G2634" s="15">
        <v>84</v>
      </c>
      <c r="H2634" s="12" t="s">
        <v>1194</v>
      </c>
      <c r="I2634" s="12" t="s">
        <v>60</v>
      </c>
      <c r="K2634" s="16">
        <v>23.5</v>
      </c>
      <c r="L2634" s="16">
        <v>35.92</v>
      </c>
      <c r="M2634" s="16">
        <v>37.42</v>
      </c>
    </row>
    <row r="2635" spans="1:13" outlineLevel="2" x14ac:dyDescent="0.2"/>
    <row r="2636" spans="1:13" outlineLevel="3" x14ac:dyDescent="0.2">
      <c r="B2636" s="4" t="str">
        <f>"0012300084"</f>
        <v>0012300084</v>
      </c>
      <c r="C2636" s="5" t="str">
        <f>"579211"</f>
        <v>579211</v>
      </c>
      <c r="D2636" s="12" t="s">
        <v>1193</v>
      </c>
      <c r="E2636" s="14" t="s">
        <v>179</v>
      </c>
      <c r="F2636" s="12" t="s">
        <v>441</v>
      </c>
      <c r="G2636" s="15">
        <v>84</v>
      </c>
      <c r="H2636" s="12" t="s">
        <v>1194</v>
      </c>
      <c r="I2636" s="12" t="s">
        <v>70</v>
      </c>
      <c r="J2636" s="2" t="s">
        <v>1400</v>
      </c>
      <c r="K2636" s="16">
        <v>49.45</v>
      </c>
      <c r="L2636" s="16">
        <v>74.09</v>
      </c>
      <c r="M2636" s="16">
        <v>73.959999999999994</v>
      </c>
    </row>
    <row r="2637" spans="1:13" outlineLevel="3" x14ac:dyDescent="0.2">
      <c r="B2637" s="4" t="str">
        <f>"0012300084"</f>
        <v>0012300084</v>
      </c>
      <c r="C2637" s="5" t="str">
        <f>"037305"</f>
        <v>037305</v>
      </c>
      <c r="D2637" s="12" t="s">
        <v>1195</v>
      </c>
      <c r="E2637" s="14" t="s">
        <v>179</v>
      </c>
      <c r="F2637" s="12" t="s">
        <v>441</v>
      </c>
      <c r="G2637" s="15">
        <v>84</v>
      </c>
      <c r="H2637" s="12" t="s">
        <v>1194</v>
      </c>
      <c r="I2637" s="12" t="s">
        <v>9</v>
      </c>
      <c r="K2637" s="16">
        <v>49.45</v>
      </c>
      <c r="L2637" s="16">
        <v>74.09</v>
      </c>
      <c r="M2637" s="16">
        <v>73.959999999999994</v>
      </c>
    </row>
    <row r="2638" spans="1:13" ht="22.5" outlineLevel="3" x14ac:dyDescent="0.2">
      <c r="B2638" s="4" t="str">
        <f>"0012300084"</f>
        <v>0012300084</v>
      </c>
      <c r="C2638" s="5" t="str">
        <f>"373077"</f>
        <v>373077</v>
      </c>
      <c r="D2638" s="12" t="s">
        <v>1198</v>
      </c>
      <c r="E2638" s="14" t="s">
        <v>179</v>
      </c>
      <c r="F2638" s="12" t="s">
        <v>441</v>
      </c>
      <c r="G2638" s="15">
        <v>84</v>
      </c>
      <c r="H2638" s="12" t="s">
        <v>1194</v>
      </c>
      <c r="I2638" s="12" t="s">
        <v>104</v>
      </c>
      <c r="K2638" s="16">
        <v>49.45</v>
      </c>
      <c r="L2638" s="16">
        <v>74.09</v>
      </c>
      <c r="M2638" s="16">
        <v>73.959999999999994</v>
      </c>
    </row>
    <row r="2639" spans="1:13" outlineLevel="3" x14ac:dyDescent="0.2">
      <c r="B2639" s="4" t="str">
        <f>"0012300084"</f>
        <v>0012300084</v>
      </c>
      <c r="C2639" s="5" t="str">
        <f>"545455"</f>
        <v>545455</v>
      </c>
      <c r="D2639" s="12" t="s">
        <v>1197</v>
      </c>
      <c r="E2639" s="14" t="s">
        <v>179</v>
      </c>
      <c r="F2639" s="12" t="s">
        <v>441</v>
      </c>
      <c r="G2639" s="15">
        <v>84</v>
      </c>
      <c r="H2639" s="12" t="s">
        <v>1194</v>
      </c>
      <c r="I2639" s="12" t="s">
        <v>30</v>
      </c>
      <c r="K2639" s="16">
        <v>49.45</v>
      </c>
      <c r="L2639" s="16">
        <v>74.09</v>
      </c>
      <c r="M2639" s="16">
        <v>73.959999999999994</v>
      </c>
    </row>
    <row r="2640" spans="1:13" ht="22.5" outlineLevel="3" x14ac:dyDescent="0.2">
      <c r="B2640" s="4" t="str">
        <f>"0012300084"</f>
        <v>0012300084</v>
      </c>
      <c r="C2640" s="5" t="str">
        <f>"542413"</f>
        <v>542413</v>
      </c>
      <c r="D2640" s="12" t="s">
        <v>1196</v>
      </c>
      <c r="E2640" s="14" t="s">
        <v>179</v>
      </c>
      <c r="F2640" s="12" t="s">
        <v>441</v>
      </c>
      <c r="G2640" s="15">
        <v>84</v>
      </c>
      <c r="H2640" s="12" t="s">
        <v>1194</v>
      </c>
      <c r="I2640" s="12" t="s">
        <v>60</v>
      </c>
      <c r="K2640" s="16">
        <v>47.9</v>
      </c>
      <c r="L2640" s="16">
        <v>71.959999999999994</v>
      </c>
      <c r="M2640" s="16">
        <v>73.959999999999994</v>
      </c>
    </row>
    <row r="2641" spans="1:13" outlineLevel="2" x14ac:dyDescent="0.2"/>
    <row r="2642" spans="1:13" outlineLevel="3" x14ac:dyDescent="0.2">
      <c r="B2642" s="4" t="str">
        <f>"0012310084"</f>
        <v>0012310084</v>
      </c>
      <c r="C2642" s="5" t="str">
        <f>"037323"</f>
        <v>037323</v>
      </c>
      <c r="D2642" s="12" t="s">
        <v>1195</v>
      </c>
      <c r="E2642" s="14" t="s">
        <v>544</v>
      </c>
      <c r="F2642" s="12" t="s">
        <v>441</v>
      </c>
      <c r="G2642" s="15">
        <v>84</v>
      </c>
      <c r="H2642" s="12" t="s">
        <v>1194</v>
      </c>
      <c r="I2642" s="12" t="s">
        <v>9</v>
      </c>
      <c r="J2642" s="2" t="s">
        <v>1400</v>
      </c>
      <c r="K2642" s="16">
        <v>89.45</v>
      </c>
      <c r="L2642" s="16">
        <v>129.09</v>
      </c>
      <c r="M2642" s="16">
        <v>128.96</v>
      </c>
    </row>
    <row r="2643" spans="1:13" outlineLevel="3" x14ac:dyDescent="0.2">
      <c r="B2643" s="4" t="str">
        <f>"0012310084"</f>
        <v>0012310084</v>
      </c>
      <c r="C2643" s="5" t="str">
        <f>"114619"</f>
        <v>114619</v>
      </c>
      <c r="D2643" s="12" t="s">
        <v>1193</v>
      </c>
      <c r="E2643" s="14" t="s">
        <v>544</v>
      </c>
      <c r="F2643" s="12" t="s">
        <v>441</v>
      </c>
      <c r="G2643" s="15">
        <v>84</v>
      </c>
      <c r="H2643" s="12" t="s">
        <v>1194</v>
      </c>
      <c r="I2643" s="12" t="s">
        <v>70</v>
      </c>
      <c r="J2643" s="2" t="s">
        <v>1400</v>
      </c>
      <c r="K2643" s="16">
        <v>89.45</v>
      </c>
      <c r="L2643" s="16">
        <v>129.09</v>
      </c>
      <c r="M2643" s="16">
        <v>128.96</v>
      </c>
    </row>
    <row r="2644" spans="1:13" ht="22.5" outlineLevel="3" x14ac:dyDescent="0.2">
      <c r="B2644" s="4" t="str">
        <f>"0012310084"</f>
        <v>0012310084</v>
      </c>
      <c r="C2644" s="5" t="str">
        <f>"124989"</f>
        <v>124989</v>
      </c>
      <c r="D2644" s="12" t="s">
        <v>1198</v>
      </c>
      <c r="E2644" s="14" t="s">
        <v>544</v>
      </c>
      <c r="F2644" s="12" t="s">
        <v>441</v>
      </c>
      <c r="G2644" s="15">
        <v>84</v>
      </c>
      <c r="H2644" s="12" t="s">
        <v>1194</v>
      </c>
      <c r="I2644" s="12" t="s">
        <v>104</v>
      </c>
      <c r="K2644" s="16">
        <v>89.45</v>
      </c>
      <c r="L2644" s="16">
        <v>129.09</v>
      </c>
      <c r="M2644" s="16">
        <v>128.96</v>
      </c>
    </row>
    <row r="2645" spans="1:13" outlineLevel="3" x14ac:dyDescent="0.2">
      <c r="B2645" s="4" t="str">
        <f>"0012310084"</f>
        <v>0012310084</v>
      </c>
      <c r="C2645" s="5" t="str">
        <f>"135262"</f>
        <v>135262</v>
      </c>
      <c r="D2645" s="12" t="s">
        <v>1197</v>
      </c>
      <c r="E2645" s="14" t="s">
        <v>544</v>
      </c>
      <c r="F2645" s="12" t="s">
        <v>441</v>
      </c>
      <c r="G2645" s="15">
        <v>84</v>
      </c>
      <c r="H2645" s="12" t="s">
        <v>1194</v>
      </c>
      <c r="I2645" s="12" t="s">
        <v>30</v>
      </c>
      <c r="K2645" s="16">
        <v>89.45</v>
      </c>
      <c r="L2645" s="16">
        <v>129.09</v>
      </c>
      <c r="M2645" s="16">
        <v>128.96</v>
      </c>
    </row>
    <row r="2646" spans="1:13" ht="22.5" outlineLevel="3" x14ac:dyDescent="0.2">
      <c r="B2646" s="4" t="str">
        <f>"0012310084"</f>
        <v>0012310084</v>
      </c>
      <c r="C2646" s="5" t="str">
        <f>"499473"</f>
        <v>499473</v>
      </c>
      <c r="D2646" s="12" t="s">
        <v>1196</v>
      </c>
      <c r="E2646" s="14" t="s">
        <v>544</v>
      </c>
      <c r="F2646" s="12" t="s">
        <v>441</v>
      </c>
      <c r="G2646" s="15">
        <v>84</v>
      </c>
      <c r="H2646" s="12" t="s">
        <v>1194</v>
      </c>
      <c r="I2646" s="12" t="s">
        <v>60</v>
      </c>
      <c r="K2646" s="16">
        <v>87.9</v>
      </c>
      <c r="L2646" s="16">
        <v>126.96</v>
      </c>
      <c r="M2646" s="16">
        <v>128.96</v>
      </c>
    </row>
    <row r="2647" spans="1:13" outlineLevel="1" x14ac:dyDescent="0.2">
      <c r="A2647" s="3"/>
    </row>
    <row r="2648" spans="1:13" outlineLevel="2" x14ac:dyDescent="0.2">
      <c r="A2648" s="3" t="s">
        <v>1550</v>
      </c>
    </row>
    <row r="2649" spans="1:13" ht="22.5" outlineLevel="3" x14ac:dyDescent="0.2">
      <c r="B2649" s="4" t="str">
        <f>"0008490100"</f>
        <v>0008490100</v>
      </c>
      <c r="C2649" s="5" t="str">
        <f>"028531"</f>
        <v>028531</v>
      </c>
      <c r="D2649" s="12" t="s">
        <v>917</v>
      </c>
      <c r="E2649" s="14" t="s">
        <v>918</v>
      </c>
      <c r="F2649" s="12" t="s">
        <v>73</v>
      </c>
      <c r="G2649" s="15">
        <v>100</v>
      </c>
      <c r="H2649" s="12" t="s">
        <v>919</v>
      </c>
      <c r="I2649" s="12" t="s">
        <v>509</v>
      </c>
      <c r="K2649" s="16">
        <v>3.99</v>
      </c>
      <c r="L2649" s="16">
        <v>6.37</v>
      </c>
      <c r="M2649" s="16">
        <v>3.98</v>
      </c>
    </row>
    <row r="2650" spans="1:13" ht="22.5" outlineLevel="3" x14ac:dyDescent="0.2">
      <c r="B2650" s="4" t="str">
        <f>"0008490100"</f>
        <v>0008490100</v>
      </c>
      <c r="C2650" s="5" t="str">
        <f>"102222"</f>
        <v>102222</v>
      </c>
      <c r="D2650" s="12" t="s">
        <v>921</v>
      </c>
      <c r="E2650" s="14" t="s">
        <v>918</v>
      </c>
      <c r="F2650" s="12" t="s">
        <v>73</v>
      </c>
      <c r="G2650" s="15">
        <v>100</v>
      </c>
      <c r="H2650" s="12" t="s">
        <v>919</v>
      </c>
      <c r="I2650" s="12" t="s">
        <v>104</v>
      </c>
      <c r="K2650" s="16">
        <v>3.98</v>
      </c>
      <c r="L2650" s="16">
        <v>6.35</v>
      </c>
      <c r="M2650" s="16">
        <v>3.98</v>
      </c>
    </row>
    <row r="2651" spans="1:13" ht="22.5" outlineLevel="3" x14ac:dyDescent="0.2">
      <c r="B2651" s="4" t="str">
        <f>"0008490100"</f>
        <v>0008490100</v>
      </c>
      <c r="C2651" s="5" t="str">
        <f>"092438"</f>
        <v>092438</v>
      </c>
      <c r="D2651" s="12" t="s">
        <v>920</v>
      </c>
      <c r="E2651" s="14" t="s">
        <v>918</v>
      </c>
      <c r="F2651" s="12" t="s">
        <v>73</v>
      </c>
      <c r="G2651" s="15">
        <v>100</v>
      </c>
      <c r="H2651" s="12" t="s">
        <v>919</v>
      </c>
      <c r="I2651" s="12" t="s">
        <v>60</v>
      </c>
      <c r="K2651" s="16">
        <v>3</v>
      </c>
      <c r="L2651" s="16">
        <v>4.79</v>
      </c>
      <c r="M2651" s="16">
        <v>3.98</v>
      </c>
    </row>
    <row r="2652" spans="1:13" ht="22.5" outlineLevel="3" x14ac:dyDescent="0.2">
      <c r="B2652" s="4" t="str">
        <f>"0008490100"</f>
        <v>0008490100</v>
      </c>
      <c r="C2652" s="5" t="str">
        <f>"137340"</f>
        <v>137340</v>
      </c>
      <c r="D2652" s="12" t="s">
        <v>922</v>
      </c>
      <c r="E2652" s="14" t="s">
        <v>918</v>
      </c>
      <c r="F2652" s="12" t="s">
        <v>73</v>
      </c>
      <c r="G2652" s="15">
        <v>100</v>
      </c>
      <c r="H2652" s="12" t="s">
        <v>919</v>
      </c>
      <c r="I2652" s="12" t="s">
        <v>79</v>
      </c>
      <c r="K2652" s="16">
        <v>1.55</v>
      </c>
      <c r="L2652" s="16">
        <v>2.48</v>
      </c>
      <c r="M2652" s="16">
        <v>3.98</v>
      </c>
    </row>
    <row r="2653" spans="1:13" outlineLevel="2" x14ac:dyDescent="0.2"/>
    <row r="2654" spans="1:13" ht="22.5" outlineLevel="3" x14ac:dyDescent="0.2">
      <c r="B2654" s="4" t="str">
        <f>"0008500030"</f>
        <v>0008500030</v>
      </c>
      <c r="C2654" s="5" t="str">
        <f>"141432"</f>
        <v>141432</v>
      </c>
      <c r="D2654" s="12" t="s">
        <v>924</v>
      </c>
      <c r="E2654" s="14" t="s">
        <v>923</v>
      </c>
      <c r="F2654" s="12" t="s">
        <v>73</v>
      </c>
      <c r="G2654" s="15">
        <v>30</v>
      </c>
      <c r="H2654" s="12" t="s">
        <v>919</v>
      </c>
      <c r="I2654" s="12" t="s">
        <v>374</v>
      </c>
      <c r="K2654" s="16">
        <v>9.44</v>
      </c>
      <c r="L2654" s="16">
        <v>15.03</v>
      </c>
      <c r="M2654" s="16">
        <v>4.7699999999999996</v>
      </c>
    </row>
    <row r="2655" spans="1:13" ht="22.5" outlineLevel="3" x14ac:dyDescent="0.2">
      <c r="B2655" s="4" t="str">
        <f>"0008500030"</f>
        <v>0008500030</v>
      </c>
      <c r="C2655" s="5" t="str">
        <f>"028508"</f>
        <v>028508</v>
      </c>
      <c r="D2655" s="12" t="s">
        <v>917</v>
      </c>
      <c r="E2655" s="14" t="s">
        <v>923</v>
      </c>
      <c r="F2655" s="12" t="s">
        <v>73</v>
      </c>
      <c r="G2655" s="15">
        <v>30</v>
      </c>
      <c r="H2655" s="12" t="s">
        <v>919</v>
      </c>
      <c r="I2655" s="12" t="s">
        <v>509</v>
      </c>
      <c r="K2655" s="16">
        <v>2.99</v>
      </c>
      <c r="L2655" s="16">
        <v>4.7699999999999996</v>
      </c>
      <c r="M2655" s="16">
        <v>4.7699999999999996</v>
      </c>
    </row>
    <row r="2656" spans="1:13" ht="22.5" outlineLevel="3" x14ac:dyDescent="0.2">
      <c r="B2656" s="4" t="str">
        <f>"0008500030"</f>
        <v>0008500030</v>
      </c>
      <c r="C2656" s="5" t="str">
        <f>"102175"</f>
        <v>102175</v>
      </c>
      <c r="D2656" s="12" t="s">
        <v>921</v>
      </c>
      <c r="E2656" s="14" t="s">
        <v>923</v>
      </c>
      <c r="F2656" s="12" t="s">
        <v>73</v>
      </c>
      <c r="G2656" s="15">
        <v>30</v>
      </c>
      <c r="H2656" s="12" t="s">
        <v>919</v>
      </c>
      <c r="I2656" s="12" t="s">
        <v>104</v>
      </c>
      <c r="K2656" s="16">
        <v>2.99</v>
      </c>
      <c r="L2656" s="16">
        <v>4.7699999999999996</v>
      </c>
      <c r="M2656" s="16">
        <v>4.7699999999999996</v>
      </c>
    </row>
    <row r="2657" spans="2:13" ht="22.5" outlineLevel="3" x14ac:dyDescent="0.2">
      <c r="B2657" s="4" t="str">
        <f>"0008500030"</f>
        <v>0008500030</v>
      </c>
      <c r="C2657" s="5" t="str">
        <f>"487313"</f>
        <v>487313</v>
      </c>
      <c r="D2657" s="12" t="s">
        <v>922</v>
      </c>
      <c r="E2657" s="14" t="s">
        <v>923</v>
      </c>
      <c r="F2657" s="12" t="s">
        <v>73</v>
      </c>
      <c r="G2657" s="15">
        <v>30</v>
      </c>
      <c r="H2657" s="12" t="s">
        <v>919</v>
      </c>
      <c r="I2657" s="12" t="s">
        <v>79</v>
      </c>
      <c r="J2657" s="2" t="s">
        <v>1400</v>
      </c>
      <c r="K2657" s="16">
        <v>2.15</v>
      </c>
      <c r="L2657" s="16">
        <v>3.43</v>
      </c>
      <c r="M2657" s="16">
        <v>4.7699999999999996</v>
      </c>
    </row>
    <row r="2658" spans="2:13" ht="22.5" outlineLevel="3" x14ac:dyDescent="0.2">
      <c r="B2658" s="4" t="str">
        <f>"0008500030"</f>
        <v>0008500030</v>
      </c>
      <c r="C2658" s="5" t="str">
        <f>"092404"</f>
        <v>092404</v>
      </c>
      <c r="D2658" s="12" t="s">
        <v>920</v>
      </c>
      <c r="E2658" s="14" t="s">
        <v>923</v>
      </c>
      <c r="F2658" s="12" t="s">
        <v>73</v>
      </c>
      <c r="G2658" s="15">
        <v>30</v>
      </c>
      <c r="H2658" s="12" t="s">
        <v>919</v>
      </c>
      <c r="I2658" s="12" t="s">
        <v>60</v>
      </c>
      <c r="K2658" s="16">
        <v>2.0499999999999998</v>
      </c>
      <c r="L2658" s="16">
        <v>3.27</v>
      </c>
      <c r="M2658" s="16">
        <v>4.7699999999999996</v>
      </c>
    </row>
    <row r="2659" spans="2:13" outlineLevel="2" x14ac:dyDescent="0.2"/>
    <row r="2660" spans="2:13" ht="22.5" outlineLevel="3" x14ac:dyDescent="0.2">
      <c r="B2660" s="4" t="str">
        <f>"0008500100"</f>
        <v>0008500100</v>
      </c>
      <c r="C2660" s="5" t="str">
        <f>"028519"</f>
        <v>028519</v>
      </c>
      <c r="D2660" s="12" t="s">
        <v>917</v>
      </c>
      <c r="E2660" s="14" t="s">
        <v>923</v>
      </c>
      <c r="F2660" s="12" t="s">
        <v>73</v>
      </c>
      <c r="G2660" s="15">
        <v>100</v>
      </c>
      <c r="H2660" s="12" t="s">
        <v>919</v>
      </c>
      <c r="I2660" s="12" t="s">
        <v>509</v>
      </c>
      <c r="K2660" s="16">
        <v>3.64</v>
      </c>
      <c r="L2660" s="16">
        <v>5.81</v>
      </c>
      <c r="M2660" s="16">
        <v>6.29</v>
      </c>
    </row>
    <row r="2661" spans="2:13" ht="22.5" outlineLevel="3" x14ac:dyDescent="0.2">
      <c r="B2661" s="4" t="str">
        <f>"0008500100"</f>
        <v>0008500100</v>
      </c>
      <c r="C2661" s="5" t="str">
        <f>"102188"</f>
        <v>102188</v>
      </c>
      <c r="D2661" s="12" t="s">
        <v>921</v>
      </c>
      <c r="E2661" s="14" t="s">
        <v>923</v>
      </c>
      <c r="F2661" s="12" t="s">
        <v>73</v>
      </c>
      <c r="G2661" s="15">
        <v>100</v>
      </c>
      <c r="H2661" s="12" t="s">
        <v>919</v>
      </c>
      <c r="I2661" s="12" t="s">
        <v>104</v>
      </c>
      <c r="K2661" s="16">
        <v>3.64</v>
      </c>
      <c r="L2661" s="16">
        <v>5.81</v>
      </c>
      <c r="M2661" s="16">
        <v>6.29</v>
      </c>
    </row>
    <row r="2662" spans="2:13" ht="22.5" outlineLevel="3" x14ac:dyDescent="0.2">
      <c r="B2662" s="4" t="str">
        <f>"0008500100"</f>
        <v>0008500100</v>
      </c>
      <c r="C2662" s="5" t="str">
        <f>"066991"</f>
        <v>066991</v>
      </c>
      <c r="D2662" s="12" t="s">
        <v>922</v>
      </c>
      <c r="E2662" s="14" t="s">
        <v>923</v>
      </c>
      <c r="F2662" s="12" t="s">
        <v>73</v>
      </c>
      <c r="G2662" s="15">
        <v>100</v>
      </c>
      <c r="H2662" s="12" t="s">
        <v>919</v>
      </c>
      <c r="I2662" s="12" t="s">
        <v>79</v>
      </c>
      <c r="J2662" s="2" t="s">
        <v>1400</v>
      </c>
      <c r="K2662" s="16">
        <v>3.05</v>
      </c>
      <c r="L2662" s="16">
        <v>4.8600000000000003</v>
      </c>
      <c r="M2662" s="16">
        <v>6.29</v>
      </c>
    </row>
    <row r="2663" spans="2:13" ht="22.5" outlineLevel="3" x14ac:dyDescent="0.2">
      <c r="B2663" s="4" t="str">
        <f>"0008500100"</f>
        <v>0008500100</v>
      </c>
      <c r="C2663" s="5" t="str">
        <f>"092416"</f>
        <v>092416</v>
      </c>
      <c r="D2663" s="12" t="s">
        <v>920</v>
      </c>
      <c r="E2663" s="14" t="s">
        <v>923</v>
      </c>
      <c r="F2663" s="12" t="s">
        <v>73</v>
      </c>
      <c r="G2663" s="15">
        <v>100</v>
      </c>
      <c r="H2663" s="12" t="s">
        <v>919</v>
      </c>
      <c r="I2663" s="12" t="s">
        <v>60</v>
      </c>
      <c r="K2663" s="16">
        <v>3</v>
      </c>
      <c r="L2663" s="16">
        <v>4.79</v>
      </c>
      <c r="M2663" s="16">
        <v>6.29</v>
      </c>
    </row>
    <row r="2664" spans="2:13" outlineLevel="2" x14ac:dyDescent="0.2"/>
    <row r="2665" spans="2:13" ht="22.5" outlineLevel="3" x14ac:dyDescent="0.2">
      <c r="B2665" s="4" t="str">
        <f>"0010810030"</f>
        <v>0010810030</v>
      </c>
      <c r="C2665" s="5" t="str">
        <f>"140327"</f>
        <v>140327</v>
      </c>
      <c r="D2665" s="12" t="s">
        <v>924</v>
      </c>
      <c r="E2665" s="14" t="s">
        <v>1083</v>
      </c>
      <c r="F2665" s="12" t="s">
        <v>73</v>
      </c>
      <c r="G2665" s="15">
        <v>30</v>
      </c>
      <c r="H2665" s="12" t="s">
        <v>919</v>
      </c>
      <c r="I2665" s="12" t="s">
        <v>374</v>
      </c>
      <c r="K2665" s="16">
        <v>4.8499999999999996</v>
      </c>
      <c r="L2665" s="16">
        <v>7.73</v>
      </c>
      <c r="M2665" s="16">
        <v>6.68</v>
      </c>
    </row>
    <row r="2666" spans="2:13" ht="22.5" outlineLevel="3" x14ac:dyDescent="0.2">
      <c r="B2666" s="4" t="str">
        <f>"0010810030"</f>
        <v>0010810030</v>
      </c>
      <c r="C2666" s="5" t="str">
        <f>"174564"</f>
        <v>174564</v>
      </c>
      <c r="D2666" s="12" t="s">
        <v>922</v>
      </c>
      <c r="E2666" s="14" t="s">
        <v>1083</v>
      </c>
      <c r="F2666" s="12" t="s">
        <v>73</v>
      </c>
      <c r="G2666" s="15">
        <v>30</v>
      </c>
      <c r="H2666" s="12" t="s">
        <v>919</v>
      </c>
      <c r="I2666" s="12" t="s">
        <v>79</v>
      </c>
      <c r="J2666" s="2" t="s">
        <v>1400</v>
      </c>
      <c r="K2666" s="16">
        <v>4.34</v>
      </c>
      <c r="L2666" s="16">
        <v>6.92</v>
      </c>
      <c r="M2666" s="16">
        <v>6.68</v>
      </c>
    </row>
    <row r="2667" spans="2:13" ht="22.5" outlineLevel="3" x14ac:dyDescent="0.2">
      <c r="B2667" s="4" t="str">
        <f>"0010810030"</f>
        <v>0010810030</v>
      </c>
      <c r="C2667" s="5" t="str">
        <f>"028497"</f>
        <v>028497</v>
      </c>
      <c r="D2667" s="12" t="s">
        <v>917</v>
      </c>
      <c r="E2667" s="14" t="s">
        <v>1083</v>
      </c>
      <c r="F2667" s="12" t="s">
        <v>73</v>
      </c>
      <c r="G2667" s="15">
        <v>30</v>
      </c>
      <c r="H2667" s="12" t="s">
        <v>919</v>
      </c>
      <c r="I2667" s="12" t="s">
        <v>509</v>
      </c>
      <c r="K2667" s="16">
        <v>4.34</v>
      </c>
      <c r="L2667" s="16">
        <v>6.92</v>
      </c>
      <c r="M2667" s="16">
        <v>6.68</v>
      </c>
    </row>
    <row r="2668" spans="2:13" ht="22.5" outlineLevel="3" x14ac:dyDescent="0.2">
      <c r="B2668" s="4" t="str">
        <f>"0010810030"</f>
        <v>0010810030</v>
      </c>
      <c r="C2668" s="5" t="str">
        <f>"102164"</f>
        <v>102164</v>
      </c>
      <c r="D2668" s="12" t="s">
        <v>921</v>
      </c>
      <c r="E2668" s="14" t="s">
        <v>1083</v>
      </c>
      <c r="F2668" s="12" t="s">
        <v>73</v>
      </c>
      <c r="G2668" s="15">
        <v>30</v>
      </c>
      <c r="H2668" s="12" t="s">
        <v>919</v>
      </c>
      <c r="I2668" s="12" t="s">
        <v>104</v>
      </c>
      <c r="K2668" s="16">
        <v>4.34</v>
      </c>
      <c r="L2668" s="16">
        <v>6.92</v>
      </c>
      <c r="M2668" s="16">
        <v>6.68</v>
      </c>
    </row>
    <row r="2669" spans="2:13" ht="22.5" outlineLevel="3" x14ac:dyDescent="0.2">
      <c r="B2669" s="4" t="str">
        <f>"0010810030"</f>
        <v>0010810030</v>
      </c>
      <c r="C2669" s="5" t="str">
        <f>"092392"</f>
        <v>092392</v>
      </c>
      <c r="D2669" s="12" t="s">
        <v>920</v>
      </c>
      <c r="E2669" s="14" t="s">
        <v>1083</v>
      </c>
      <c r="F2669" s="12" t="s">
        <v>73</v>
      </c>
      <c r="G2669" s="15">
        <v>30</v>
      </c>
      <c r="H2669" s="12" t="s">
        <v>919</v>
      </c>
      <c r="I2669" s="12" t="s">
        <v>60</v>
      </c>
      <c r="K2669" s="16">
        <v>3.25</v>
      </c>
      <c r="L2669" s="16">
        <v>5.18</v>
      </c>
      <c r="M2669" s="16">
        <v>6.68</v>
      </c>
    </row>
    <row r="2670" spans="2:13" outlineLevel="2" x14ac:dyDescent="0.2"/>
    <row r="2671" spans="2:13" ht="22.5" outlineLevel="3" x14ac:dyDescent="0.2">
      <c r="B2671" s="4" t="str">
        <f>"0010820100"</f>
        <v>0010820100</v>
      </c>
      <c r="C2671" s="5" t="str">
        <f>"521789"</f>
        <v>521789</v>
      </c>
      <c r="D2671" s="12" t="s">
        <v>922</v>
      </c>
      <c r="E2671" s="14" t="s">
        <v>1084</v>
      </c>
      <c r="F2671" s="12" t="s">
        <v>73</v>
      </c>
      <c r="G2671" s="15">
        <v>100</v>
      </c>
      <c r="H2671" s="12" t="s">
        <v>919</v>
      </c>
      <c r="I2671" s="12" t="s">
        <v>79</v>
      </c>
      <c r="J2671" s="2" t="s">
        <v>1400</v>
      </c>
      <c r="K2671" s="16">
        <v>5.94</v>
      </c>
      <c r="L2671" s="16">
        <v>9.4700000000000006</v>
      </c>
      <c r="M2671" s="16">
        <v>9.32</v>
      </c>
    </row>
    <row r="2672" spans="2:13" ht="22.5" outlineLevel="3" x14ac:dyDescent="0.2">
      <c r="B2672" s="4" t="str">
        <f>"0010820100"</f>
        <v>0010820100</v>
      </c>
      <c r="C2672" s="5" t="str">
        <f>"102211"</f>
        <v>102211</v>
      </c>
      <c r="D2672" s="12" t="s">
        <v>921</v>
      </c>
      <c r="E2672" s="14" t="s">
        <v>1084</v>
      </c>
      <c r="F2672" s="12" t="s">
        <v>73</v>
      </c>
      <c r="G2672" s="15">
        <v>100</v>
      </c>
      <c r="H2672" s="12" t="s">
        <v>919</v>
      </c>
      <c r="I2672" s="12" t="s">
        <v>104</v>
      </c>
      <c r="K2672" s="16">
        <v>5.94</v>
      </c>
      <c r="L2672" s="16">
        <v>9.4700000000000006</v>
      </c>
      <c r="M2672" s="16">
        <v>9.32</v>
      </c>
    </row>
    <row r="2673" spans="2:13" ht="22.5" outlineLevel="3" x14ac:dyDescent="0.2">
      <c r="B2673" s="4" t="str">
        <f>"0010820100"</f>
        <v>0010820100</v>
      </c>
      <c r="C2673" s="5" t="str">
        <f>"147602"</f>
        <v>147602</v>
      </c>
      <c r="D2673" s="12" t="s">
        <v>917</v>
      </c>
      <c r="E2673" s="14" t="s">
        <v>1084</v>
      </c>
      <c r="F2673" s="12" t="s">
        <v>73</v>
      </c>
      <c r="G2673" s="15">
        <v>100</v>
      </c>
      <c r="H2673" s="12" t="s">
        <v>919</v>
      </c>
      <c r="I2673" s="12" t="s">
        <v>509</v>
      </c>
      <c r="K2673" s="16">
        <v>5.94</v>
      </c>
      <c r="L2673" s="16">
        <v>9.4700000000000006</v>
      </c>
      <c r="M2673" s="16">
        <v>9.32</v>
      </c>
    </row>
    <row r="2674" spans="2:13" ht="22.5" outlineLevel="3" x14ac:dyDescent="0.2">
      <c r="B2674" s="4" t="str">
        <f>"0010820100"</f>
        <v>0010820100</v>
      </c>
      <c r="C2674" s="5" t="str">
        <f>"098438"</f>
        <v>098438</v>
      </c>
      <c r="D2674" s="12" t="s">
        <v>920</v>
      </c>
      <c r="E2674" s="14" t="s">
        <v>1084</v>
      </c>
      <c r="F2674" s="12" t="s">
        <v>73</v>
      </c>
      <c r="G2674" s="15">
        <v>100</v>
      </c>
      <c r="H2674" s="12" t="s">
        <v>919</v>
      </c>
      <c r="I2674" s="12" t="s">
        <v>60</v>
      </c>
      <c r="K2674" s="16">
        <v>4.9000000000000004</v>
      </c>
      <c r="L2674" s="16">
        <v>7.82</v>
      </c>
      <c r="M2674" s="16">
        <v>9.32</v>
      </c>
    </row>
    <row r="2675" spans="2:13" outlineLevel="2" x14ac:dyDescent="0.2"/>
    <row r="2676" spans="2:13" outlineLevel="3" x14ac:dyDescent="0.2">
      <c r="B2676" s="4" t="str">
        <f>"0011370030"</f>
        <v>0011370030</v>
      </c>
      <c r="C2676" s="5" t="str">
        <f>"054844"</f>
        <v>054844</v>
      </c>
      <c r="D2676" s="12" t="s">
        <v>1129</v>
      </c>
      <c r="E2676" s="14" t="s">
        <v>1130</v>
      </c>
      <c r="F2676" s="12" t="s">
        <v>441</v>
      </c>
      <c r="G2676" s="15">
        <v>30</v>
      </c>
      <c r="H2676" s="12" t="s">
        <v>919</v>
      </c>
      <c r="I2676" s="12" t="s">
        <v>70</v>
      </c>
      <c r="J2676" s="2" t="s">
        <v>1400</v>
      </c>
      <c r="K2676" s="16" t="s">
        <v>1401</v>
      </c>
      <c r="L2676" s="16" t="s">
        <v>1401</v>
      </c>
      <c r="M2676" s="16">
        <v>19.02</v>
      </c>
    </row>
    <row r="2677" spans="2:13" ht="33.75" outlineLevel="3" x14ac:dyDescent="0.2">
      <c r="B2677" s="4" t="str">
        <f>"0011370030"</f>
        <v>0011370030</v>
      </c>
      <c r="C2677" s="5" t="str">
        <f>"050847"</f>
        <v>050847</v>
      </c>
      <c r="D2677" s="12" t="s">
        <v>924</v>
      </c>
      <c r="E2677" s="14" t="s">
        <v>1130</v>
      </c>
      <c r="F2677" s="12" t="s">
        <v>441</v>
      </c>
      <c r="G2677" s="15">
        <v>30</v>
      </c>
      <c r="H2677" s="12" t="s">
        <v>919</v>
      </c>
      <c r="I2677" s="12" t="s">
        <v>1131</v>
      </c>
      <c r="K2677" s="16">
        <v>11.12</v>
      </c>
      <c r="L2677" s="16">
        <v>17.52</v>
      </c>
      <c r="M2677" s="16">
        <v>19.02</v>
      </c>
    </row>
    <row r="2678" spans="2:13" ht="22.5" outlineLevel="3" x14ac:dyDescent="0.2">
      <c r="B2678" s="4" t="str">
        <f>"0011370030"</f>
        <v>0011370030</v>
      </c>
      <c r="C2678" s="5" t="str">
        <f>"174522"</f>
        <v>174522</v>
      </c>
      <c r="D2678" s="12" t="s">
        <v>917</v>
      </c>
      <c r="E2678" s="14" t="s">
        <v>1130</v>
      </c>
      <c r="F2678" s="12" t="s">
        <v>441</v>
      </c>
      <c r="G2678" s="15">
        <v>30</v>
      </c>
      <c r="H2678" s="12" t="s">
        <v>919</v>
      </c>
      <c r="I2678" s="12" t="s">
        <v>509</v>
      </c>
      <c r="K2678" s="16">
        <v>11.12</v>
      </c>
      <c r="L2678" s="16">
        <v>17.52</v>
      </c>
      <c r="M2678" s="16">
        <v>19.02</v>
      </c>
    </row>
    <row r="2679" spans="2:13" outlineLevel="2" x14ac:dyDescent="0.2"/>
    <row r="2680" spans="2:13" outlineLevel="3" x14ac:dyDescent="0.2">
      <c r="B2680" s="4" t="str">
        <f>"0011370100"</f>
        <v>0011370100</v>
      </c>
      <c r="C2680" s="5" t="str">
        <f>"061546"</f>
        <v>061546</v>
      </c>
      <c r="D2680" s="12" t="s">
        <v>1129</v>
      </c>
      <c r="E2680" s="14" t="s">
        <v>1130</v>
      </c>
      <c r="F2680" s="12" t="s">
        <v>441</v>
      </c>
      <c r="G2680" s="15">
        <v>100</v>
      </c>
      <c r="H2680" s="12" t="s">
        <v>919</v>
      </c>
      <c r="I2680" s="12" t="s">
        <v>70</v>
      </c>
      <c r="J2680" s="2" t="s">
        <v>1400</v>
      </c>
      <c r="K2680" s="16" t="s">
        <v>1401</v>
      </c>
      <c r="L2680" s="16" t="s">
        <v>1401</v>
      </c>
      <c r="M2680" s="16">
        <v>53.07</v>
      </c>
    </row>
    <row r="2681" spans="2:13" ht="33.75" outlineLevel="3" x14ac:dyDescent="0.2">
      <c r="B2681" s="4" t="str">
        <f>"0011370100"</f>
        <v>0011370100</v>
      </c>
      <c r="C2681" s="5" t="str">
        <f>"050836"</f>
        <v>050836</v>
      </c>
      <c r="D2681" s="12" t="s">
        <v>924</v>
      </c>
      <c r="E2681" s="14" t="s">
        <v>1130</v>
      </c>
      <c r="F2681" s="12" t="s">
        <v>441</v>
      </c>
      <c r="G2681" s="15">
        <v>100</v>
      </c>
      <c r="H2681" s="12" t="s">
        <v>919</v>
      </c>
      <c r="I2681" s="12" t="s">
        <v>1131</v>
      </c>
      <c r="K2681" s="16">
        <v>33.71</v>
      </c>
      <c r="L2681" s="16">
        <v>51.07</v>
      </c>
      <c r="M2681" s="16">
        <v>53.07</v>
      </c>
    </row>
    <row r="2682" spans="2:13" ht="22.5" outlineLevel="3" x14ac:dyDescent="0.2">
      <c r="B2682" s="4" t="str">
        <f>"0011370100"</f>
        <v>0011370100</v>
      </c>
      <c r="C2682" s="5" t="str">
        <f>"435033"</f>
        <v>435033</v>
      </c>
      <c r="D2682" s="12" t="s">
        <v>917</v>
      </c>
      <c r="E2682" s="14" t="s">
        <v>1130</v>
      </c>
      <c r="F2682" s="12" t="s">
        <v>441</v>
      </c>
      <c r="G2682" s="15">
        <v>100</v>
      </c>
      <c r="H2682" s="12" t="s">
        <v>919</v>
      </c>
      <c r="I2682" s="12" t="s">
        <v>509</v>
      </c>
      <c r="K2682" s="16">
        <v>33.71</v>
      </c>
      <c r="L2682" s="16">
        <v>51.07</v>
      </c>
      <c r="M2682" s="16">
        <v>53.07</v>
      </c>
    </row>
    <row r="2683" spans="2:13" outlineLevel="2" x14ac:dyDescent="0.2"/>
    <row r="2684" spans="2:13" outlineLevel="3" x14ac:dyDescent="0.2">
      <c r="B2684" s="4" t="str">
        <f>"0011380100"</f>
        <v>0011380100</v>
      </c>
      <c r="C2684" s="5" t="str">
        <f>"190894"</f>
        <v>190894</v>
      </c>
      <c r="D2684" s="12" t="s">
        <v>1129</v>
      </c>
      <c r="E2684" s="14" t="s">
        <v>1132</v>
      </c>
      <c r="F2684" s="12" t="s">
        <v>441</v>
      </c>
      <c r="G2684" s="15">
        <v>100</v>
      </c>
      <c r="H2684" s="12" t="s">
        <v>919</v>
      </c>
      <c r="I2684" s="12" t="s">
        <v>70</v>
      </c>
      <c r="J2684" s="2" t="s">
        <v>1400</v>
      </c>
      <c r="K2684" s="16" t="s">
        <v>1401</v>
      </c>
      <c r="L2684" s="16" t="s">
        <v>1401</v>
      </c>
      <c r="M2684" s="16">
        <v>92.41</v>
      </c>
    </row>
    <row r="2685" spans="2:13" ht="33.75" outlineLevel="3" x14ac:dyDescent="0.2">
      <c r="B2685" s="4" t="str">
        <f>"0011380100"</f>
        <v>0011380100</v>
      </c>
      <c r="C2685" s="5" t="str">
        <f>"044739"</f>
        <v>044739</v>
      </c>
      <c r="D2685" s="12" t="s">
        <v>924</v>
      </c>
      <c r="E2685" s="14" t="s">
        <v>1132</v>
      </c>
      <c r="F2685" s="12" t="s">
        <v>441</v>
      </c>
      <c r="G2685" s="15">
        <v>100</v>
      </c>
      <c r="H2685" s="12" t="s">
        <v>919</v>
      </c>
      <c r="I2685" s="12" t="s">
        <v>1131</v>
      </c>
      <c r="K2685" s="16">
        <v>61.32</v>
      </c>
      <c r="L2685" s="16">
        <v>90.41</v>
      </c>
      <c r="M2685" s="16">
        <v>92.41</v>
      </c>
    </row>
    <row r="2686" spans="2:13" ht="22.5" outlineLevel="3" x14ac:dyDescent="0.2">
      <c r="B2686" s="4" t="str">
        <f>"0011380100"</f>
        <v>0011380100</v>
      </c>
      <c r="C2686" s="5" t="str">
        <f>"528214"</f>
        <v>528214</v>
      </c>
      <c r="D2686" s="12" t="s">
        <v>917</v>
      </c>
      <c r="E2686" s="14" t="s">
        <v>1132</v>
      </c>
      <c r="F2686" s="12" t="s">
        <v>441</v>
      </c>
      <c r="G2686" s="15">
        <v>100</v>
      </c>
      <c r="H2686" s="12" t="s">
        <v>919</v>
      </c>
      <c r="I2686" s="12" t="s">
        <v>509</v>
      </c>
      <c r="K2686" s="16">
        <v>61.32</v>
      </c>
      <c r="L2686" s="16">
        <v>90.41</v>
      </c>
      <c r="M2686" s="16">
        <v>92.41</v>
      </c>
    </row>
    <row r="2687" spans="2:13" outlineLevel="2" x14ac:dyDescent="0.2"/>
    <row r="2688" spans="2:13" outlineLevel="3" x14ac:dyDescent="0.2">
      <c r="B2688" s="4" t="str">
        <f>"0011390100"</f>
        <v>0011390100</v>
      </c>
      <c r="C2688" s="5" t="str">
        <f>"593837"</f>
        <v>593837</v>
      </c>
      <c r="D2688" s="12" t="s">
        <v>1129</v>
      </c>
      <c r="E2688" s="14" t="s">
        <v>1133</v>
      </c>
      <c r="F2688" s="12" t="s">
        <v>441</v>
      </c>
      <c r="G2688" s="15">
        <v>100</v>
      </c>
      <c r="H2688" s="12" t="s">
        <v>919</v>
      </c>
      <c r="I2688" s="12" t="s">
        <v>70</v>
      </c>
      <c r="J2688" s="2" t="s">
        <v>1400</v>
      </c>
      <c r="K2688" s="16" t="s">
        <v>1401</v>
      </c>
      <c r="L2688" s="16" t="s">
        <v>1401</v>
      </c>
      <c r="M2688" s="16">
        <v>174.87</v>
      </c>
    </row>
    <row r="2689" spans="2:13" ht="33.75" outlineLevel="3" x14ac:dyDescent="0.2">
      <c r="B2689" s="4" t="str">
        <f>"0011390100"</f>
        <v>0011390100</v>
      </c>
      <c r="C2689" s="5" t="str">
        <f>"044728"</f>
        <v>044728</v>
      </c>
      <c r="D2689" s="12" t="s">
        <v>924</v>
      </c>
      <c r="E2689" s="14" t="s">
        <v>1133</v>
      </c>
      <c r="F2689" s="12" t="s">
        <v>441</v>
      </c>
      <c r="G2689" s="15">
        <v>100</v>
      </c>
      <c r="H2689" s="12" t="s">
        <v>919</v>
      </c>
      <c r="I2689" s="12" t="s">
        <v>1131</v>
      </c>
      <c r="K2689" s="16">
        <v>123.06</v>
      </c>
      <c r="L2689" s="16">
        <v>172.87</v>
      </c>
      <c r="M2689" s="16">
        <v>174.87</v>
      </c>
    </row>
    <row r="2690" spans="2:13" ht="22.5" outlineLevel="3" x14ac:dyDescent="0.2">
      <c r="B2690" s="4" t="str">
        <f>"0011390100"</f>
        <v>0011390100</v>
      </c>
      <c r="C2690" s="5" t="str">
        <f>"570464"</f>
        <v>570464</v>
      </c>
      <c r="D2690" s="12" t="s">
        <v>917</v>
      </c>
      <c r="E2690" s="14" t="s">
        <v>1133</v>
      </c>
      <c r="F2690" s="12" t="s">
        <v>441</v>
      </c>
      <c r="G2690" s="15">
        <v>100</v>
      </c>
      <c r="H2690" s="12" t="s">
        <v>919</v>
      </c>
      <c r="I2690" s="12" t="s">
        <v>509</v>
      </c>
      <c r="K2690" s="16">
        <v>123.06</v>
      </c>
      <c r="L2690" s="16">
        <v>172.87</v>
      </c>
      <c r="M2690" s="16">
        <v>174.87</v>
      </c>
    </row>
    <row r="2691" spans="2:13" outlineLevel="2" x14ac:dyDescent="0.2"/>
    <row r="2692" spans="2:13" outlineLevel="3" x14ac:dyDescent="0.2">
      <c r="B2692" s="4" t="str">
        <f>"0011400100"</f>
        <v>0011400100</v>
      </c>
      <c r="C2692" s="5" t="str">
        <f>"182862"</f>
        <v>182862</v>
      </c>
      <c r="D2692" s="12" t="s">
        <v>1129</v>
      </c>
      <c r="E2692" s="14" t="s">
        <v>1134</v>
      </c>
      <c r="F2692" s="12" t="s">
        <v>441</v>
      </c>
      <c r="G2692" s="15">
        <v>100</v>
      </c>
      <c r="H2692" s="12" t="s">
        <v>919</v>
      </c>
      <c r="I2692" s="12" t="s">
        <v>70</v>
      </c>
      <c r="J2692" s="2" t="s">
        <v>1400</v>
      </c>
      <c r="K2692" s="16" t="s">
        <v>1401</v>
      </c>
      <c r="L2692" s="16" t="s">
        <v>1401</v>
      </c>
      <c r="M2692" s="16">
        <v>326.01</v>
      </c>
    </row>
    <row r="2693" spans="2:13" ht="33.75" outlineLevel="3" x14ac:dyDescent="0.2">
      <c r="B2693" s="4" t="str">
        <f>"0011400100"</f>
        <v>0011400100</v>
      </c>
      <c r="C2693" s="5" t="str">
        <f>"044752"</f>
        <v>044752</v>
      </c>
      <c r="D2693" s="12" t="s">
        <v>924</v>
      </c>
      <c r="E2693" s="14" t="s">
        <v>1134</v>
      </c>
      <c r="F2693" s="12" t="s">
        <v>441</v>
      </c>
      <c r="G2693" s="15">
        <v>100</v>
      </c>
      <c r="H2693" s="12" t="s">
        <v>919</v>
      </c>
      <c r="I2693" s="12" t="s">
        <v>1131</v>
      </c>
      <c r="K2693" s="16">
        <v>242.54</v>
      </c>
      <c r="L2693" s="16">
        <v>324.01</v>
      </c>
      <c r="M2693" s="16">
        <v>326.01</v>
      </c>
    </row>
    <row r="2694" spans="2:13" ht="22.5" outlineLevel="3" x14ac:dyDescent="0.2">
      <c r="B2694" s="4" t="str">
        <f>"0011400100"</f>
        <v>0011400100</v>
      </c>
      <c r="C2694" s="5" t="str">
        <f>"545090"</f>
        <v>545090</v>
      </c>
      <c r="D2694" s="12" t="s">
        <v>917</v>
      </c>
      <c r="E2694" s="14" t="s">
        <v>1134</v>
      </c>
      <c r="F2694" s="12" t="s">
        <v>441</v>
      </c>
      <c r="G2694" s="15">
        <v>100</v>
      </c>
      <c r="H2694" s="12" t="s">
        <v>919</v>
      </c>
      <c r="I2694" s="12" t="s">
        <v>509</v>
      </c>
      <c r="K2694" s="16">
        <v>242.54</v>
      </c>
      <c r="L2694" s="16">
        <v>324.01</v>
      </c>
      <c r="M2694" s="16">
        <v>326.01</v>
      </c>
    </row>
    <row r="2695" spans="2:13" outlineLevel="2" x14ac:dyDescent="0.2"/>
    <row r="2696" spans="2:13" outlineLevel="3" x14ac:dyDescent="0.2">
      <c r="B2696" s="4" t="str">
        <f>"0011410100"</f>
        <v>0011410100</v>
      </c>
      <c r="C2696" s="5" t="str">
        <f>"522950"</f>
        <v>522950</v>
      </c>
      <c r="D2696" s="12" t="s">
        <v>1129</v>
      </c>
      <c r="E2696" s="14" t="s">
        <v>1135</v>
      </c>
      <c r="F2696" s="12" t="s">
        <v>441</v>
      </c>
      <c r="G2696" s="15">
        <v>100</v>
      </c>
      <c r="H2696" s="12" t="s">
        <v>919</v>
      </c>
      <c r="I2696" s="12" t="s">
        <v>70</v>
      </c>
      <c r="J2696" s="2" t="s">
        <v>1400</v>
      </c>
      <c r="K2696" s="16" t="s">
        <v>1401</v>
      </c>
      <c r="L2696" s="16" t="s">
        <v>1401</v>
      </c>
      <c r="M2696" s="16">
        <v>479.42</v>
      </c>
    </row>
    <row r="2697" spans="2:13" ht="33.75" outlineLevel="3" x14ac:dyDescent="0.2">
      <c r="B2697" s="4" t="str">
        <f>"0011410100"</f>
        <v>0011410100</v>
      </c>
      <c r="C2697" s="5" t="str">
        <f>"062410"</f>
        <v>062410</v>
      </c>
      <c r="D2697" s="12" t="s">
        <v>924</v>
      </c>
      <c r="E2697" s="14" t="s">
        <v>1135</v>
      </c>
      <c r="F2697" s="12" t="s">
        <v>441</v>
      </c>
      <c r="G2697" s="15">
        <v>100</v>
      </c>
      <c r="H2697" s="12" t="s">
        <v>919</v>
      </c>
      <c r="I2697" s="12" t="s">
        <v>1131</v>
      </c>
      <c r="K2697" s="16">
        <v>363.82</v>
      </c>
      <c r="L2697" s="16">
        <v>477.42</v>
      </c>
      <c r="M2697" s="16">
        <v>479.42</v>
      </c>
    </row>
    <row r="2698" spans="2:13" ht="22.5" outlineLevel="3" x14ac:dyDescent="0.2">
      <c r="B2698" s="4" t="str">
        <f>"0011410100"</f>
        <v>0011410100</v>
      </c>
      <c r="C2698" s="5" t="str">
        <f>"513096"</f>
        <v>513096</v>
      </c>
      <c r="D2698" s="12" t="s">
        <v>917</v>
      </c>
      <c r="E2698" s="14" t="s">
        <v>1135</v>
      </c>
      <c r="F2698" s="12" t="s">
        <v>441</v>
      </c>
      <c r="G2698" s="15">
        <v>100</v>
      </c>
      <c r="H2698" s="12" t="s">
        <v>919</v>
      </c>
      <c r="I2698" s="12" t="s">
        <v>509</v>
      </c>
      <c r="K2698" s="16">
        <v>363.82</v>
      </c>
      <c r="L2698" s="16">
        <v>477.42</v>
      </c>
      <c r="M2698" s="16">
        <v>479.42</v>
      </c>
    </row>
    <row r="2699" spans="2:13" outlineLevel="2" x14ac:dyDescent="0.2"/>
    <row r="2700" spans="2:13" outlineLevel="3" x14ac:dyDescent="0.2">
      <c r="B2700" s="4" t="str">
        <f>"0011980100"</f>
        <v>0011980100</v>
      </c>
      <c r="C2700" s="5" t="str">
        <f>"592842"</f>
        <v>592842</v>
      </c>
      <c r="D2700" s="12" t="s">
        <v>1129</v>
      </c>
      <c r="E2700" s="14" t="s">
        <v>1184</v>
      </c>
      <c r="F2700" s="12" t="s">
        <v>441</v>
      </c>
      <c r="G2700" s="15">
        <v>100</v>
      </c>
      <c r="H2700" s="12" t="s">
        <v>919</v>
      </c>
      <c r="I2700" s="12" t="s">
        <v>70</v>
      </c>
      <c r="J2700" s="2" t="s">
        <v>1400</v>
      </c>
      <c r="K2700" s="16" t="s">
        <v>1401</v>
      </c>
      <c r="L2700" s="16" t="s">
        <v>1401</v>
      </c>
      <c r="M2700" s="16">
        <v>250.68</v>
      </c>
    </row>
    <row r="2701" spans="2:13" ht="22.5" outlineLevel="3" x14ac:dyDescent="0.2">
      <c r="B2701" s="4" t="str">
        <f>"0011980100"</f>
        <v>0011980100</v>
      </c>
      <c r="C2701" s="5" t="str">
        <f>"420343"</f>
        <v>420343</v>
      </c>
      <c r="D2701" s="12" t="s">
        <v>917</v>
      </c>
      <c r="E2701" s="14" t="s">
        <v>1184</v>
      </c>
      <c r="F2701" s="12" t="s">
        <v>441</v>
      </c>
      <c r="G2701" s="15">
        <v>100</v>
      </c>
      <c r="H2701" s="12" t="s">
        <v>919</v>
      </c>
      <c r="I2701" s="12" t="s">
        <v>509</v>
      </c>
      <c r="K2701" s="16">
        <v>182.99</v>
      </c>
      <c r="L2701" s="16">
        <v>248.68</v>
      </c>
      <c r="M2701" s="16">
        <v>250.68</v>
      </c>
    </row>
    <row r="2702" spans="2:13" ht="22.5" outlineLevel="3" x14ac:dyDescent="0.2">
      <c r="B2702" s="4" t="str">
        <f>"0011980100"</f>
        <v>0011980100</v>
      </c>
      <c r="C2702" s="5" t="str">
        <f>"515942"</f>
        <v>515942</v>
      </c>
      <c r="D2702" s="12" t="s">
        <v>924</v>
      </c>
      <c r="E2702" s="14" t="s">
        <v>1184</v>
      </c>
      <c r="F2702" s="12" t="s">
        <v>441</v>
      </c>
      <c r="G2702" s="15">
        <v>100</v>
      </c>
      <c r="H2702" s="12" t="s">
        <v>919</v>
      </c>
      <c r="I2702" s="12" t="s">
        <v>374</v>
      </c>
      <c r="K2702" s="16">
        <v>182.99</v>
      </c>
      <c r="L2702" s="16">
        <v>248.68</v>
      </c>
      <c r="M2702" s="16">
        <v>250.68</v>
      </c>
    </row>
    <row r="2703" spans="2:13" outlineLevel="2" x14ac:dyDescent="0.2"/>
    <row r="2704" spans="2:13" outlineLevel="3" x14ac:dyDescent="0.2">
      <c r="B2704" s="4" t="str">
        <f>"0011990100"</f>
        <v>0011990100</v>
      </c>
      <c r="C2704" s="5" t="str">
        <f>"115866"</f>
        <v>115866</v>
      </c>
      <c r="D2704" s="12" t="s">
        <v>1129</v>
      </c>
      <c r="E2704" s="14" t="s">
        <v>1185</v>
      </c>
      <c r="F2704" s="12" t="s">
        <v>441</v>
      </c>
      <c r="G2704" s="15">
        <v>100</v>
      </c>
      <c r="H2704" s="12" t="s">
        <v>919</v>
      </c>
      <c r="I2704" s="12" t="s">
        <v>70</v>
      </c>
      <c r="J2704" s="2" t="s">
        <v>1400</v>
      </c>
      <c r="K2704" s="16" t="s">
        <v>1401</v>
      </c>
      <c r="L2704" s="16" t="s">
        <v>1401</v>
      </c>
      <c r="M2704" s="16">
        <v>401.86</v>
      </c>
    </row>
    <row r="2705" spans="1:13" ht="22.5" outlineLevel="3" x14ac:dyDescent="0.2">
      <c r="B2705" s="4" t="str">
        <f>"0011990100"</f>
        <v>0011990100</v>
      </c>
      <c r="C2705" s="5" t="str">
        <f>"137754"</f>
        <v>137754</v>
      </c>
      <c r="D2705" s="12" t="s">
        <v>917</v>
      </c>
      <c r="E2705" s="14" t="s">
        <v>1185</v>
      </c>
      <c r="F2705" s="12" t="s">
        <v>441</v>
      </c>
      <c r="G2705" s="15">
        <v>100</v>
      </c>
      <c r="H2705" s="12" t="s">
        <v>919</v>
      </c>
      <c r="I2705" s="12" t="s">
        <v>509</v>
      </c>
      <c r="K2705" s="16">
        <v>302.5</v>
      </c>
      <c r="L2705" s="16">
        <v>399.86</v>
      </c>
      <c r="M2705" s="16">
        <v>401.86</v>
      </c>
    </row>
    <row r="2706" spans="1:13" ht="22.5" outlineLevel="3" x14ac:dyDescent="0.2">
      <c r="B2706" s="4" t="str">
        <f>"0011990100"</f>
        <v>0011990100</v>
      </c>
      <c r="C2706" s="5" t="str">
        <f>"515477"</f>
        <v>515477</v>
      </c>
      <c r="D2706" s="12" t="s">
        <v>924</v>
      </c>
      <c r="E2706" s="14" t="s">
        <v>1185</v>
      </c>
      <c r="F2706" s="12" t="s">
        <v>441</v>
      </c>
      <c r="G2706" s="15">
        <v>100</v>
      </c>
      <c r="H2706" s="12" t="s">
        <v>919</v>
      </c>
      <c r="I2706" s="12" t="s">
        <v>374</v>
      </c>
      <c r="K2706" s="16">
        <v>302.5</v>
      </c>
      <c r="L2706" s="16">
        <v>399.86</v>
      </c>
      <c r="M2706" s="16">
        <v>401.86</v>
      </c>
    </row>
    <row r="2707" spans="1:13" outlineLevel="1" x14ac:dyDescent="0.2">
      <c r="A2707" s="3"/>
    </row>
    <row r="2708" spans="1:13" outlineLevel="2" x14ac:dyDescent="0.2">
      <c r="A2708" s="3" t="s">
        <v>1551</v>
      </c>
    </row>
    <row r="2709" spans="1:13" outlineLevel="3" x14ac:dyDescent="0.2">
      <c r="B2709" s="4" t="str">
        <f>"0003520100"</f>
        <v>0003520100</v>
      </c>
      <c r="C2709" s="5" t="str">
        <f>"164818"</f>
        <v>164818</v>
      </c>
      <c r="D2709" s="12" t="s">
        <v>450</v>
      </c>
      <c r="E2709" s="14" t="s">
        <v>82</v>
      </c>
      <c r="F2709" s="12" t="s">
        <v>73</v>
      </c>
      <c r="G2709" s="15">
        <v>100</v>
      </c>
      <c r="H2709" s="12" t="s">
        <v>451</v>
      </c>
      <c r="I2709" s="12" t="s">
        <v>11</v>
      </c>
      <c r="K2709" s="16">
        <v>47.29</v>
      </c>
      <c r="L2709" s="16">
        <v>71.12</v>
      </c>
      <c r="M2709" s="16">
        <v>73.12</v>
      </c>
    </row>
    <row r="2710" spans="1:13" outlineLevel="3" x14ac:dyDescent="0.2">
      <c r="B2710" s="4" t="str">
        <f>"0003520100"</f>
        <v>0003520100</v>
      </c>
      <c r="C2710" s="5" t="str">
        <f>"476192"</f>
        <v>476192</v>
      </c>
      <c r="D2710" s="12" t="s">
        <v>452</v>
      </c>
      <c r="E2710" s="14" t="s">
        <v>82</v>
      </c>
      <c r="F2710" s="12" t="s">
        <v>73</v>
      </c>
      <c r="G2710" s="15">
        <v>100</v>
      </c>
      <c r="H2710" s="12" t="s">
        <v>451</v>
      </c>
      <c r="I2710" s="12" t="s">
        <v>58</v>
      </c>
      <c r="K2710" s="16">
        <v>47.29</v>
      </c>
      <c r="L2710" s="16">
        <v>71.12</v>
      </c>
      <c r="M2710" s="16">
        <v>73.12</v>
      </c>
    </row>
    <row r="2711" spans="1:13" outlineLevel="2" x14ac:dyDescent="0.2"/>
    <row r="2712" spans="1:13" outlineLevel="3" x14ac:dyDescent="0.2">
      <c r="B2712" s="4" t="str">
        <f>"0003530100"</f>
        <v>0003530100</v>
      </c>
      <c r="C2712" s="5" t="str">
        <f>"164807"</f>
        <v>164807</v>
      </c>
      <c r="D2712" s="12" t="s">
        <v>450</v>
      </c>
      <c r="E2712" s="14" t="s">
        <v>111</v>
      </c>
      <c r="F2712" s="12" t="s">
        <v>73</v>
      </c>
      <c r="G2712" s="15">
        <v>100</v>
      </c>
      <c r="H2712" s="12" t="s">
        <v>451</v>
      </c>
      <c r="I2712" s="12" t="s">
        <v>11</v>
      </c>
      <c r="K2712" s="16">
        <v>23.65</v>
      </c>
      <c r="L2712" s="16">
        <v>36.14</v>
      </c>
      <c r="M2712" s="16">
        <v>37.64</v>
      </c>
    </row>
    <row r="2713" spans="1:13" outlineLevel="3" x14ac:dyDescent="0.2">
      <c r="B2713" s="4" t="str">
        <f>"0003530100"</f>
        <v>0003530100</v>
      </c>
      <c r="C2713" s="5" t="str">
        <f>"534024"</f>
        <v>534024</v>
      </c>
      <c r="D2713" s="12" t="s">
        <v>452</v>
      </c>
      <c r="E2713" s="14" t="s">
        <v>111</v>
      </c>
      <c r="F2713" s="12" t="s">
        <v>73</v>
      </c>
      <c r="G2713" s="15">
        <v>100</v>
      </c>
      <c r="H2713" s="12" t="s">
        <v>451</v>
      </c>
      <c r="I2713" s="12" t="s">
        <v>58</v>
      </c>
      <c r="K2713" s="16">
        <v>23.65</v>
      </c>
      <c r="L2713" s="16">
        <v>36.14</v>
      </c>
      <c r="M2713" s="16">
        <v>37.64</v>
      </c>
    </row>
    <row r="2714" spans="1:13" outlineLevel="1" x14ac:dyDescent="0.2">
      <c r="A2714" s="3"/>
    </row>
    <row r="2715" spans="1:13" outlineLevel="2" x14ac:dyDescent="0.2">
      <c r="A2715" s="3" t="s">
        <v>1552</v>
      </c>
    </row>
    <row r="2716" spans="1:13" outlineLevel="3" x14ac:dyDescent="0.2">
      <c r="B2716" s="4" t="str">
        <f t="shared" ref="B2716:B2721" si="80">"0015780030"</f>
        <v>0015780030</v>
      </c>
      <c r="C2716" s="5" t="str">
        <f>"540709"</f>
        <v>540709</v>
      </c>
      <c r="D2716" s="12" t="s">
        <v>1362</v>
      </c>
      <c r="E2716" s="14" t="s">
        <v>465</v>
      </c>
      <c r="F2716" s="12" t="s">
        <v>73</v>
      </c>
      <c r="G2716" s="15">
        <v>28</v>
      </c>
      <c r="H2716" s="12" t="s">
        <v>1363</v>
      </c>
      <c r="I2716" s="12" t="s">
        <v>881</v>
      </c>
      <c r="J2716" s="2" t="s">
        <v>1400</v>
      </c>
      <c r="K2716" s="16">
        <v>52.72</v>
      </c>
      <c r="L2716" s="16">
        <v>78.58</v>
      </c>
      <c r="M2716" s="16">
        <v>50.53</v>
      </c>
    </row>
    <row r="2717" spans="1:13" ht="22.5" outlineLevel="3" x14ac:dyDescent="0.2">
      <c r="B2717" s="4" t="str">
        <f t="shared" si="80"/>
        <v>0015780030</v>
      </c>
      <c r="C2717" s="5" t="str">
        <f>"032092"</f>
        <v>032092</v>
      </c>
      <c r="D2717" s="12" t="s">
        <v>1364</v>
      </c>
      <c r="E2717" s="14" t="s">
        <v>465</v>
      </c>
      <c r="F2717" s="12" t="s">
        <v>73</v>
      </c>
      <c r="G2717" s="15">
        <v>28</v>
      </c>
      <c r="H2717" s="12" t="s">
        <v>1363</v>
      </c>
      <c r="I2717" s="12" t="s">
        <v>509</v>
      </c>
      <c r="K2717" s="16">
        <v>40.07</v>
      </c>
      <c r="L2717" s="16">
        <v>60.51</v>
      </c>
      <c r="M2717" s="16">
        <v>50.53</v>
      </c>
    </row>
    <row r="2718" spans="1:13" outlineLevel="3" x14ac:dyDescent="0.2">
      <c r="B2718" s="4" t="str">
        <f t="shared" si="80"/>
        <v>0015780030</v>
      </c>
      <c r="C2718" s="5" t="str">
        <f>"422135"</f>
        <v>422135</v>
      </c>
      <c r="D2718" s="12" t="s">
        <v>1366</v>
      </c>
      <c r="E2718" s="14" t="s">
        <v>465</v>
      </c>
      <c r="F2718" s="12" t="s">
        <v>73</v>
      </c>
      <c r="G2718" s="15">
        <v>28</v>
      </c>
      <c r="H2718" s="12" t="s">
        <v>1363</v>
      </c>
      <c r="I2718" s="12" t="s">
        <v>355</v>
      </c>
      <c r="K2718" s="16">
        <v>40.07</v>
      </c>
      <c r="L2718" s="16">
        <v>60.51</v>
      </c>
      <c r="M2718" s="16">
        <v>50.53</v>
      </c>
    </row>
    <row r="2719" spans="1:13" outlineLevel="3" x14ac:dyDescent="0.2">
      <c r="B2719" s="4" t="str">
        <f t="shared" si="80"/>
        <v>0015780030</v>
      </c>
      <c r="C2719" s="5" t="str">
        <f>"100690"</f>
        <v>100690</v>
      </c>
      <c r="D2719" s="12" t="s">
        <v>1365</v>
      </c>
      <c r="E2719" s="14" t="s">
        <v>465</v>
      </c>
      <c r="F2719" s="12" t="s">
        <v>73</v>
      </c>
      <c r="G2719" s="15">
        <v>30</v>
      </c>
      <c r="H2719" s="12" t="s">
        <v>1363</v>
      </c>
      <c r="I2719" s="12" t="s">
        <v>70</v>
      </c>
      <c r="K2719" s="16">
        <v>40.06</v>
      </c>
      <c r="L2719" s="16">
        <v>60.5</v>
      </c>
      <c r="M2719" s="16">
        <v>50.53</v>
      </c>
    </row>
    <row r="2720" spans="1:13" ht="22.5" outlineLevel="3" x14ac:dyDescent="0.2">
      <c r="B2720" s="4" t="str">
        <f t="shared" si="80"/>
        <v>0015780030</v>
      </c>
      <c r="C2720" s="5" t="str">
        <f>"475076"</f>
        <v>475076</v>
      </c>
      <c r="D2720" s="12" t="s">
        <v>1367</v>
      </c>
      <c r="E2720" s="14" t="s">
        <v>465</v>
      </c>
      <c r="F2720" s="12" t="s">
        <v>73</v>
      </c>
      <c r="G2720" s="15">
        <v>28</v>
      </c>
      <c r="H2720" s="12" t="s">
        <v>1363</v>
      </c>
      <c r="I2720" s="12" t="s">
        <v>79</v>
      </c>
      <c r="K2720" s="16">
        <v>34.299999999999997</v>
      </c>
      <c r="L2720" s="16">
        <v>51.95</v>
      </c>
      <c r="M2720" s="16">
        <v>50.53</v>
      </c>
    </row>
    <row r="2721" spans="1:13" ht="22.5" outlineLevel="3" x14ac:dyDescent="0.2">
      <c r="B2721" s="4" t="str">
        <f t="shared" si="80"/>
        <v>0015780030</v>
      </c>
      <c r="C2721" s="5" t="str">
        <f>"578341"</f>
        <v>578341</v>
      </c>
      <c r="D2721" s="12" t="s">
        <v>1368</v>
      </c>
      <c r="E2721" s="14" t="s">
        <v>465</v>
      </c>
      <c r="F2721" s="12" t="s">
        <v>73</v>
      </c>
      <c r="G2721" s="15">
        <v>28</v>
      </c>
      <c r="H2721" s="12" t="s">
        <v>1363</v>
      </c>
      <c r="I2721" s="12" t="s">
        <v>710</v>
      </c>
      <c r="K2721" s="16">
        <v>32</v>
      </c>
      <c r="L2721" s="16">
        <v>48.53</v>
      </c>
      <c r="M2721" s="16">
        <v>50.53</v>
      </c>
    </row>
    <row r="2722" spans="1:13" outlineLevel="2" x14ac:dyDescent="0.2"/>
    <row r="2723" spans="1:13" outlineLevel="3" x14ac:dyDescent="0.2">
      <c r="B2723" s="4" t="str">
        <f t="shared" ref="B2723:B2728" si="81">"0015780112"</f>
        <v>0015780112</v>
      </c>
      <c r="C2723" s="5" t="str">
        <f>"487650"</f>
        <v>487650</v>
      </c>
      <c r="D2723" s="12" t="s">
        <v>1362</v>
      </c>
      <c r="E2723" s="14" t="s">
        <v>465</v>
      </c>
      <c r="F2723" s="12" t="s">
        <v>73</v>
      </c>
      <c r="G2723" s="15">
        <v>112</v>
      </c>
      <c r="H2723" s="12" t="s">
        <v>1363</v>
      </c>
      <c r="I2723" s="12" t="s">
        <v>881</v>
      </c>
      <c r="J2723" s="2" t="s">
        <v>1400</v>
      </c>
      <c r="K2723" s="16">
        <v>197.74</v>
      </c>
      <c r="L2723" s="16">
        <v>267.33</v>
      </c>
      <c r="M2723" s="16">
        <v>160.87</v>
      </c>
    </row>
    <row r="2724" spans="1:13" outlineLevel="3" x14ac:dyDescent="0.2">
      <c r="B2724" s="4" t="str">
        <f t="shared" si="81"/>
        <v>0015780112</v>
      </c>
      <c r="C2724" s="5" t="str">
        <f>"479654"</f>
        <v>479654</v>
      </c>
      <c r="D2724" s="12" t="s">
        <v>1366</v>
      </c>
      <c r="E2724" s="14" t="s">
        <v>465</v>
      </c>
      <c r="F2724" s="12" t="s">
        <v>73</v>
      </c>
      <c r="G2724" s="15">
        <v>112</v>
      </c>
      <c r="H2724" s="12" t="s">
        <v>1363</v>
      </c>
      <c r="I2724" s="12" t="s">
        <v>355</v>
      </c>
      <c r="K2724" s="16">
        <v>136.09</v>
      </c>
      <c r="L2724" s="16">
        <v>189.34</v>
      </c>
      <c r="M2724" s="16">
        <v>160.87</v>
      </c>
    </row>
    <row r="2725" spans="1:13" outlineLevel="3" x14ac:dyDescent="0.2">
      <c r="B2725" s="4" t="str">
        <f t="shared" si="81"/>
        <v>0015780112</v>
      </c>
      <c r="C2725" s="5" t="str">
        <f>"169406"</f>
        <v>169406</v>
      </c>
      <c r="D2725" s="12" t="s">
        <v>1365</v>
      </c>
      <c r="E2725" s="14" t="s">
        <v>465</v>
      </c>
      <c r="F2725" s="12" t="s">
        <v>73</v>
      </c>
      <c r="G2725" s="15">
        <v>112</v>
      </c>
      <c r="H2725" s="12" t="s">
        <v>1363</v>
      </c>
      <c r="I2725" s="12" t="s">
        <v>70</v>
      </c>
      <c r="K2725" s="16">
        <v>136.08000000000001</v>
      </c>
      <c r="L2725" s="16">
        <v>189.33</v>
      </c>
      <c r="M2725" s="16">
        <v>160.87</v>
      </c>
    </row>
    <row r="2726" spans="1:13" ht="22.5" outlineLevel="3" x14ac:dyDescent="0.2">
      <c r="B2726" s="4" t="str">
        <f t="shared" si="81"/>
        <v>0015780112</v>
      </c>
      <c r="C2726" s="5" t="str">
        <f>"518224"</f>
        <v>518224</v>
      </c>
      <c r="D2726" s="12" t="s">
        <v>1364</v>
      </c>
      <c r="E2726" s="14" t="s">
        <v>465</v>
      </c>
      <c r="F2726" s="12" t="s">
        <v>73</v>
      </c>
      <c r="G2726" s="15">
        <v>112</v>
      </c>
      <c r="H2726" s="12" t="s">
        <v>1363</v>
      </c>
      <c r="I2726" s="12" t="s">
        <v>509</v>
      </c>
      <c r="K2726" s="16">
        <v>136.08000000000001</v>
      </c>
      <c r="L2726" s="16">
        <v>189.33</v>
      </c>
      <c r="M2726" s="16">
        <v>160.87</v>
      </c>
    </row>
    <row r="2727" spans="1:13" ht="22.5" outlineLevel="3" x14ac:dyDescent="0.2">
      <c r="B2727" s="4" t="str">
        <f t="shared" si="81"/>
        <v>0015780112</v>
      </c>
      <c r="C2727" s="5" t="str">
        <f>"161934"</f>
        <v>161934</v>
      </c>
      <c r="D2727" s="12" t="s">
        <v>1367</v>
      </c>
      <c r="E2727" s="14" t="s">
        <v>465</v>
      </c>
      <c r="F2727" s="12" t="s">
        <v>73</v>
      </c>
      <c r="G2727" s="15">
        <v>112</v>
      </c>
      <c r="H2727" s="12" t="s">
        <v>1363</v>
      </c>
      <c r="I2727" s="12" t="s">
        <v>79</v>
      </c>
      <c r="K2727" s="16">
        <v>129.22</v>
      </c>
      <c r="L2727" s="16">
        <v>180.65</v>
      </c>
      <c r="M2727" s="16">
        <v>160.87</v>
      </c>
    </row>
    <row r="2728" spans="1:13" ht="22.5" outlineLevel="3" x14ac:dyDescent="0.2">
      <c r="B2728" s="4" t="str">
        <f t="shared" si="81"/>
        <v>0015780112</v>
      </c>
      <c r="C2728" s="5" t="str">
        <f>"087539"</f>
        <v>087539</v>
      </c>
      <c r="D2728" s="12" t="s">
        <v>1368</v>
      </c>
      <c r="E2728" s="14" t="s">
        <v>465</v>
      </c>
      <c r="F2728" s="12" t="s">
        <v>73</v>
      </c>
      <c r="G2728" s="15">
        <v>112</v>
      </c>
      <c r="H2728" s="12" t="s">
        <v>1363</v>
      </c>
      <c r="I2728" s="12" t="s">
        <v>710</v>
      </c>
      <c r="K2728" s="16">
        <v>112</v>
      </c>
      <c r="L2728" s="16">
        <v>158.87</v>
      </c>
      <c r="M2728" s="16">
        <v>160.87</v>
      </c>
    </row>
    <row r="2729" spans="1:13" outlineLevel="1" x14ac:dyDescent="0.2">
      <c r="A2729" s="3"/>
    </row>
    <row r="2730" spans="1:13" outlineLevel="2" x14ac:dyDescent="0.2">
      <c r="A2730" s="3" t="s">
        <v>1553</v>
      </c>
    </row>
    <row r="2731" spans="1:13" outlineLevel="3" x14ac:dyDescent="0.2">
      <c r="B2731" s="4" t="str">
        <f>"0013320056"</f>
        <v>0013320056</v>
      </c>
      <c r="C2731" s="5" t="str">
        <f>"036225"</f>
        <v>036225</v>
      </c>
      <c r="D2731" s="12" t="s">
        <v>1242</v>
      </c>
      <c r="E2731" s="14" t="s">
        <v>14</v>
      </c>
      <c r="F2731" s="12" t="s">
        <v>216</v>
      </c>
      <c r="G2731" s="15">
        <v>56</v>
      </c>
      <c r="H2731" s="12" t="s">
        <v>1243</v>
      </c>
      <c r="I2731" s="12" t="s">
        <v>240</v>
      </c>
      <c r="K2731" s="16">
        <v>30.47</v>
      </c>
      <c r="L2731" s="16">
        <v>46.26</v>
      </c>
      <c r="M2731" s="16">
        <v>48.26</v>
      </c>
    </row>
    <row r="2732" spans="1:13" outlineLevel="3" x14ac:dyDescent="0.2">
      <c r="B2732" s="4" t="str">
        <f>"0013320056"</f>
        <v>0013320056</v>
      </c>
      <c r="C2732" s="5" t="str">
        <f>"387528"</f>
        <v>387528</v>
      </c>
      <c r="D2732" s="12" t="s">
        <v>1244</v>
      </c>
      <c r="E2732" s="14" t="s">
        <v>14</v>
      </c>
      <c r="F2732" s="12" t="s">
        <v>216</v>
      </c>
      <c r="G2732" s="15">
        <v>56</v>
      </c>
      <c r="H2732" s="12" t="s">
        <v>1243</v>
      </c>
      <c r="I2732" s="12" t="s">
        <v>30</v>
      </c>
      <c r="K2732" s="16">
        <v>30.47</v>
      </c>
      <c r="L2732" s="16">
        <v>46.26</v>
      </c>
      <c r="M2732" s="16">
        <v>48.26</v>
      </c>
    </row>
    <row r="2733" spans="1:13" outlineLevel="2" x14ac:dyDescent="0.2"/>
    <row r="2734" spans="1:13" outlineLevel="3" x14ac:dyDescent="0.2">
      <c r="B2734" s="4" t="str">
        <f>"0013330056"</f>
        <v>0013330056</v>
      </c>
      <c r="C2734" s="5" t="str">
        <f>"498980"</f>
        <v>498980</v>
      </c>
      <c r="D2734" s="12" t="s">
        <v>1245</v>
      </c>
      <c r="E2734" s="14" t="s">
        <v>98</v>
      </c>
      <c r="F2734" s="12" t="s">
        <v>216</v>
      </c>
      <c r="G2734" s="15">
        <v>56</v>
      </c>
      <c r="H2734" s="12" t="s">
        <v>1243</v>
      </c>
      <c r="I2734" s="12" t="s">
        <v>240</v>
      </c>
      <c r="K2734" s="16">
        <v>55.4</v>
      </c>
      <c r="L2734" s="16">
        <v>82.27</v>
      </c>
      <c r="M2734" s="16">
        <v>84.27</v>
      </c>
    </row>
    <row r="2735" spans="1:13" outlineLevel="3" x14ac:dyDescent="0.2">
      <c r="B2735" s="4" t="str">
        <f>"0013330056"</f>
        <v>0013330056</v>
      </c>
      <c r="C2735" s="5" t="str">
        <f>"587720"</f>
        <v>587720</v>
      </c>
      <c r="D2735" s="12" t="s">
        <v>1244</v>
      </c>
      <c r="E2735" s="14" t="s">
        <v>98</v>
      </c>
      <c r="F2735" s="12" t="s">
        <v>216</v>
      </c>
      <c r="G2735" s="15">
        <v>56</v>
      </c>
      <c r="H2735" s="12" t="s">
        <v>1243</v>
      </c>
      <c r="I2735" s="12" t="s">
        <v>30</v>
      </c>
      <c r="K2735" s="16">
        <v>55.4</v>
      </c>
      <c r="L2735" s="16">
        <v>82.27</v>
      </c>
      <c r="M2735" s="16">
        <v>84.27</v>
      </c>
    </row>
    <row r="2736" spans="1:13" outlineLevel="2" x14ac:dyDescent="0.2"/>
    <row r="2737" spans="1:13" outlineLevel="3" x14ac:dyDescent="0.2">
      <c r="B2737" s="4" t="str">
        <f>"0013330100"</f>
        <v>0013330100</v>
      </c>
      <c r="C2737" s="5" t="str">
        <f>"113912"</f>
        <v>113912</v>
      </c>
      <c r="D2737" s="12" t="s">
        <v>1242</v>
      </c>
      <c r="E2737" s="14" t="s">
        <v>98</v>
      </c>
      <c r="F2737" s="12" t="s">
        <v>216</v>
      </c>
      <c r="G2737" s="15">
        <v>100</v>
      </c>
      <c r="H2737" s="12" t="s">
        <v>1243</v>
      </c>
      <c r="I2737" s="12" t="s">
        <v>240</v>
      </c>
      <c r="J2737" s="2" t="s">
        <v>1400</v>
      </c>
      <c r="K2737" s="16">
        <v>97</v>
      </c>
      <c r="L2737" s="16">
        <v>139.47</v>
      </c>
      <c r="M2737" s="16">
        <v>141.47</v>
      </c>
    </row>
    <row r="2738" spans="1:13" outlineLevel="3" x14ac:dyDescent="0.2">
      <c r="B2738" s="4" t="str">
        <f>"0013330100"</f>
        <v>0013330100</v>
      </c>
      <c r="C2738" s="5" t="str">
        <f>"083246"</f>
        <v>083246</v>
      </c>
      <c r="D2738" s="12" t="s">
        <v>1245</v>
      </c>
      <c r="E2738" s="14" t="s">
        <v>98</v>
      </c>
      <c r="F2738" s="12" t="s">
        <v>216</v>
      </c>
      <c r="G2738" s="15">
        <v>100</v>
      </c>
      <c r="H2738" s="12" t="s">
        <v>1243</v>
      </c>
      <c r="I2738" s="12" t="s">
        <v>240</v>
      </c>
      <c r="K2738" s="16">
        <v>97</v>
      </c>
      <c r="L2738" s="16">
        <v>139.47</v>
      </c>
      <c r="M2738" s="16">
        <v>141.47</v>
      </c>
    </row>
    <row r="2739" spans="1:13" outlineLevel="3" x14ac:dyDescent="0.2">
      <c r="B2739" s="4" t="str">
        <f>"0013330100"</f>
        <v>0013330100</v>
      </c>
      <c r="C2739" s="5" t="str">
        <f>"404428"</f>
        <v>404428</v>
      </c>
      <c r="D2739" s="12" t="s">
        <v>1244</v>
      </c>
      <c r="E2739" s="14" t="s">
        <v>98</v>
      </c>
      <c r="F2739" s="12" t="s">
        <v>216</v>
      </c>
      <c r="G2739" s="15">
        <v>100</v>
      </c>
      <c r="H2739" s="12" t="s">
        <v>1243</v>
      </c>
      <c r="I2739" s="12" t="s">
        <v>30</v>
      </c>
      <c r="K2739" s="16">
        <v>97</v>
      </c>
      <c r="L2739" s="16">
        <v>139.47</v>
      </c>
      <c r="M2739" s="16">
        <v>141.47</v>
      </c>
    </row>
    <row r="2740" spans="1:13" outlineLevel="2" x14ac:dyDescent="0.2"/>
    <row r="2741" spans="1:13" outlineLevel="3" x14ac:dyDescent="0.2">
      <c r="B2741" s="4" t="str">
        <f>"0013340100"</f>
        <v>0013340100</v>
      </c>
      <c r="C2741" s="5" t="str">
        <f>"372034"</f>
        <v>372034</v>
      </c>
      <c r="D2741" s="12" t="s">
        <v>1242</v>
      </c>
      <c r="E2741" s="14" t="s">
        <v>605</v>
      </c>
      <c r="F2741" s="12" t="s">
        <v>216</v>
      </c>
      <c r="G2741" s="15">
        <v>100</v>
      </c>
      <c r="H2741" s="12" t="s">
        <v>1243</v>
      </c>
      <c r="I2741" s="12" t="s">
        <v>240</v>
      </c>
      <c r="J2741" s="2" t="s">
        <v>1400</v>
      </c>
      <c r="K2741" s="16">
        <v>116.78</v>
      </c>
      <c r="L2741" s="16">
        <v>164.92</v>
      </c>
      <c r="M2741" s="16">
        <v>166.92</v>
      </c>
    </row>
    <row r="2742" spans="1:13" outlineLevel="3" x14ac:dyDescent="0.2">
      <c r="B2742" s="4" t="str">
        <f>"0013340100"</f>
        <v>0013340100</v>
      </c>
      <c r="C2742" s="5" t="str">
        <f>"068599"</f>
        <v>068599</v>
      </c>
      <c r="D2742" s="12" t="s">
        <v>1244</v>
      </c>
      <c r="E2742" s="14" t="s">
        <v>605</v>
      </c>
      <c r="F2742" s="12" t="s">
        <v>216</v>
      </c>
      <c r="G2742" s="15">
        <v>100</v>
      </c>
      <c r="H2742" s="12" t="s">
        <v>1243</v>
      </c>
      <c r="I2742" s="12" t="s">
        <v>30</v>
      </c>
      <c r="K2742" s="16">
        <v>116.78</v>
      </c>
      <c r="L2742" s="16">
        <v>164.92</v>
      </c>
      <c r="M2742" s="16">
        <v>166.92</v>
      </c>
    </row>
    <row r="2743" spans="1:13" outlineLevel="3" x14ac:dyDescent="0.2">
      <c r="B2743" s="4" t="str">
        <f>"0013340100"</f>
        <v>0013340100</v>
      </c>
      <c r="C2743" s="5" t="str">
        <f>"083535"</f>
        <v>083535</v>
      </c>
      <c r="D2743" s="12" t="s">
        <v>1245</v>
      </c>
      <c r="E2743" s="14" t="s">
        <v>605</v>
      </c>
      <c r="F2743" s="12" t="s">
        <v>216</v>
      </c>
      <c r="G2743" s="15">
        <v>100</v>
      </c>
      <c r="H2743" s="12" t="s">
        <v>1243</v>
      </c>
      <c r="I2743" s="12" t="s">
        <v>240</v>
      </c>
      <c r="K2743" s="16">
        <v>116.78</v>
      </c>
      <c r="L2743" s="16">
        <v>164.92</v>
      </c>
      <c r="M2743" s="16">
        <v>166.92</v>
      </c>
    </row>
    <row r="2744" spans="1:13" outlineLevel="2" x14ac:dyDescent="0.2"/>
    <row r="2745" spans="1:13" outlineLevel="3" x14ac:dyDescent="0.2">
      <c r="B2745" s="4" t="str">
        <f>"0013350056"</f>
        <v>0013350056</v>
      </c>
      <c r="C2745" s="5" t="str">
        <f>"499020"</f>
        <v>499020</v>
      </c>
      <c r="D2745" s="12" t="s">
        <v>1245</v>
      </c>
      <c r="E2745" s="14" t="s">
        <v>116</v>
      </c>
      <c r="F2745" s="12" t="s">
        <v>216</v>
      </c>
      <c r="G2745" s="15">
        <v>56</v>
      </c>
      <c r="H2745" s="12" t="s">
        <v>1243</v>
      </c>
      <c r="I2745" s="12" t="s">
        <v>240</v>
      </c>
      <c r="J2745" s="2" t="s">
        <v>1400</v>
      </c>
      <c r="K2745" s="16">
        <v>88.43</v>
      </c>
      <c r="L2745" s="16">
        <v>127.69</v>
      </c>
      <c r="M2745" s="16">
        <v>129.69</v>
      </c>
    </row>
    <row r="2746" spans="1:13" outlineLevel="3" x14ac:dyDescent="0.2">
      <c r="B2746" s="4" t="str">
        <f>"0013350056"</f>
        <v>0013350056</v>
      </c>
      <c r="C2746" s="5" t="str">
        <f>"145981"</f>
        <v>145981</v>
      </c>
      <c r="D2746" s="12" t="s">
        <v>1244</v>
      </c>
      <c r="E2746" s="14" t="s">
        <v>116</v>
      </c>
      <c r="F2746" s="12" t="s">
        <v>216</v>
      </c>
      <c r="G2746" s="15">
        <v>56</v>
      </c>
      <c r="H2746" s="12" t="s">
        <v>1243</v>
      </c>
      <c r="I2746" s="12" t="s">
        <v>30</v>
      </c>
      <c r="K2746" s="16">
        <v>88.43</v>
      </c>
      <c r="L2746" s="16">
        <v>127.69</v>
      </c>
      <c r="M2746" s="16">
        <v>129.69</v>
      </c>
    </row>
    <row r="2747" spans="1:13" outlineLevel="2" x14ac:dyDescent="0.2"/>
    <row r="2748" spans="1:13" outlineLevel="3" x14ac:dyDescent="0.2">
      <c r="B2748" s="4" t="str">
        <f>"0013350100"</f>
        <v>0013350100</v>
      </c>
      <c r="C2748" s="5" t="str">
        <f>"078277"</f>
        <v>078277</v>
      </c>
      <c r="D2748" s="12" t="s">
        <v>1244</v>
      </c>
      <c r="E2748" s="14" t="s">
        <v>116</v>
      </c>
      <c r="F2748" s="12" t="s">
        <v>216</v>
      </c>
      <c r="G2748" s="15">
        <v>100</v>
      </c>
      <c r="H2748" s="12" t="s">
        <v>1243</v>
      </c>
      <c r="I2748" s="12" t="s">
        <v>30</v>
      </c>
      <c r="K2748" s="16">
        <v>154.81</v>
      </c>
      <c r="L2748" s="16">
        <v>213.03</v>
      </c>
      <c r="M2748" s="16">
        <v>215.03</v>
      </c>
    </row>
    <row r="2749" spans="1:13" outlineLevel="3" x14ac:dyDescent="0.2">
      <c r="B2749" s="4" t="str">
        <f>"0013350100"</f>
        <v>0013350100</v>
      </c>
      <c r="C2749" s="5" t="str">
        <f>"119792"</f>
        <v>119792</v>
      </c>
      <c r="D2749" s="12" t="s">
        <v>1245</v>
      </c>
      <c r="E2749" s="14" t="s">
        <v>116</v>
      </c>
      <c r="F2749" s="12" t="s">
        <v>216</v>
      </c>
      <c r="G2749" s="15">
        <v>100</v>
      </c>
      <c r="H2749" s="12" t="s">
        <v>1243</v>
      </c>
      <c r="I2749" s="12" t="s">
        <v>240</v>
      </c>
      <c r="K2749" s="16">
        <v>154.81</v>
      </c>
      <c r="L2749" s="16">
        <v>213.03</v>
      </c>
      <c r="M2749" s="16">
        <v>215.03</v>
      </c>
    </row>
    <row r="2750" spans="1:13" outlineLevel="2" x14ac:dyDescent="0.2">
      <c r="A2750" s="3" t="s">
        <v>1554</v>
      </c>
    </row>
    <row r="2751" spans="1:13" outlineLevel="3" x14ac:dyDescent="0.2">
      <c r="B2751" s="4" t="str">
        <f>"0004870030"</f>
        <v>0004870030</v>
      </c>
      <c r="C2751" s="5" t="str">
        <f>"010405"</f>
        <v>010405</v>
      </c>
      <c r="D2751" s="12" t="s">
        <v>623</v>
      </c>
      <c r="E2751" s="14" t="s">
        <v>118</v>
      </c>
      <c r="F2751" s="12" t="s">
        <v>73</v>
      </c>
      <c r="G2751" s="15">
        <v>30</v>
      </c>
      <c r="H2751" s="12" t="s">
        <v>624</v>
      </c>
      <c r="I2751" s="12" t="s">
        <v>58</v>
      </c>
      <c r="K2751" s="16">
        <v>16.760000000000002</v>
      </c>
      <c r="L2751" s="16">
        <v>25.91</v>
      </c>
      <c r="M2751" s="16">
        <v>27.41</v>
      </c>
    </row>
    <row r="2752" spans="1:13" outlineLevel="2" x14ac:dyDescent="0.2"/>
    <row r="2753" spans="1:13" outlineLevel="3" x14ac:dyDescent="0.2">
      <c r="B2753" s="4" t="str">
        <f>"0004870100"</f>
        <v>0004870100</v>
      </c>
      <c r="C2753" s="5" t="str">
        <f>"010421"</f>
        <v>010421</v>
      </c>
      <c r="D2753" s="12" t="s">
        <v>623</v>
      </c>
      <c r="E2753" s="14" t="s">
        <v>118</v>
      </c>
      <c r="F2753" s="12" t="s">
        <v>73</v>
      </c>
      <c r="G2753" s="15">
        <v>100</v>
      </c>
      <c r="H2753" s="12" t="s">
        <v>624</v>
      </c>
      <c r="I2753" s="12" t="s">
        <v>58</v>
      </c>
      <c r="K2753" s="16">
        <v>33.18</v>
      </c>
      <c r="L2753" s="16">
        <v>50.28</v>
      </c>
      <c r="M2753" s="16">
        <v>52.28</v>
      </c>
    </row>
    <row r="2754" spans="1:13" outlineLevel="3" x14ac:dyDescent="0.2">
      <c r="B2754" s="4" t="str">
        <f>"0004870100"</f>
        <v>0004870100</v>
      </c>
      <c r="C2754" s="5" t="str">
        <f>"030627"</f>
        <v>030627</v>
      </c>
      <c r="D2754" s="12" t="s">
        <v>625</v>
      </c>
      <c r="E2754" s="14" t="s">
        <v>118</v>
      </c>
      <c r="F2754" s="12" t="s">
        <v>73</v>
      </c>
      <c r="G2754" s="15">
        <v>100</v>
      </c>
      <c r="H2754" s="12" t="s">
        <v>624</v>
      </c>
      <c r="I2754" s="12" t="s">
        <v>109</v>
      </c>
      <c r="K2754" s="16">
        <v>33.18</v>
      </c>
      <c r="L2754" s="16">
        <v>50.28</v>
      </c>
      <c r="M2754" s="16">
        <v>52.28</v>
      </c>
    </row>
    <row r="2755" spans="1:13" outlineLevel="2" x14ac:dyDescent="0.2"/>
    <row r="2756" spans="1:13" outlineLevel="3" x14ac:dyDescent="0.2">
      <c r="B2756" s="4" t="str">
        <f>"0007560100"</f>
        <v>0007560100</v>
      </c>
      <c r="C2756" s="5" t="str">
        <f>"030635"</f>
        <v>030635</v>
      </c>
      <c r="D2756" s="12" t="s">
        <v>625</v>
      </c>
      <c r="E2756" s="14" t="s">
        <v>102</v>
      </c>
      <c r="F2756" s="12" t="s">
        <v>73</v>
      </c>
      <c r="G2756" s="15">
        <v>100</v>
      </c>
      <c r="H2756" s="12" t="s">
        <v>624</v>
      </c>
      <c r="I2756" s="12" t="s">
        <v>109</v>
      </c>
      <c r="K2756" s="16">
        <v>13.66</v>
      </c>
      <c r="L2756" s="16">
        <v>21.3</v>
      </c>
      <c r="M2756" s="16">
        <v>22.8</v>
      </c>
    </row>
    <row r="2757" spans="1:13" outlineLevel="3" x14ac:dyDescent="0.2">
      <c r="B2757" s="4" t="str">
        <f>"0007560100"</f>
        <v>0007560100</v>
      </c>
      <c r="C2757" s="5" t="str">
        <f>"065565"</f>
        <v>065565</v>
      </c>
      <c r="D2757" s="12" t="s">
        <v>623</v>
      </c>
      <c r="E2757" s="14" t="s">
        <v>102</v>
      </c>
      <c r="F2757" s="12" t="s">
        <v>73</v>
      </c>
      <c r="G2757" s="15">
        <v>100</v>
      </c>
      <c r="H2757" s="12" t="s">
        <v>624</v>
      </c>
      <c r="I2757" s="12" t="s">
        <v>58</v>
      </c>
      <c r="K2757" s="16">
        <v>13.66</v>
      </c>
      <c r="L2757" s="16">
        <v>21.3</v>
      </c>
      <c r="M2757" s="16">
        <v>22.8</v>
      </c>
    </row>
    <row r="2758" spans="1:13" outlineLevel="1" x14ac:dyDescent="0.2">
      <c r="A2758" s="3"/>
    </row>
    <row r="2759" spans="1:13" outlineLevel="2" x14ac:dyDescent="0.2">
      <c r="A2759" s="3" t="s">
        <v>1555</v>
      </c>
    </row>
    <row r="2760" spans="1:13" ht="22.5" outlineLevel="3" x14ac:dyDescent="0.2">
      <c r="B2760" s="4" t="str">
        <f t="shared" ref="B2760:B2766" si="82">"0006320056"</f>
        <v>0006320056</v>
      </c>
      <c r="C2760" s="5" t="str">
        <f>"129098"</f>
        <v>129098</v>
      </c>
      <c r="D2760" s="12" t="s">
        <v>736</v>
      </c>
      <c r="E2760" s="14" t="s">
        <v>375</v>
      </c>
      <c r="F2760" s="12" t="s">
        <v>220</v>
      </c>
      <c r="G2760" s="15">
        <v>56</v>
      </c>
      <c r="H2760" s="12" t="s">
        <v>732</v>
      </c>
      <c r="I2760" s="12" t="s">
        <v>737</v>
      </c>
      <c r="K2760" s="16">
        <v>88.58</v>
      </c>
      <c r="L2760" s="16">
        <v>127.9</v>
      </c>
      <c r="M2760" s="16">
        <v>4.91</v>
      </c>
    </row>
    <row r="2761" spans="1:13" outlineLevel="3" x14ac:dyDescent="0.2">
      <c r="B2761" s="4" t="str">
        <f t="shared" si="82"/>
        <v>0006320056</v>
      </c>
      <c r="C2761" s="5" t="str">
        <f>"087447"</f>
        <v>087447</v>
      </c>
      <c r="D2761" s="12" t="s">
        <v>731</v>
      </c>
      <c r="E2761" s="14" t="s">
        <v>375</v>
      </c>
      <c r="F2761" s="12" t="s">
        <v>73</v>
      </c>
      <c r="G2761" s="15">
        <v>56</v>
      </c>
      <c r="H2761" s="12" t="s">
        <v>732</v>
      </c>
      <c r="I2761" s="12" t="s">
        <v>355</v>
      </c>
      <c r="J2761" s="2" t="s">
        <v>1400</v>
      </c>
      <c r="K2761" s="16">
        <v>10</v>
      </c>
      <c r="L2761" s="16">
        <v>15.86</v>
      </c>
      <c r="M2761" s="16">
        <v>4.91</v>
      </c>
    </row>
    <row r="2762" spans="1:13" ht="22.5" outlineLevel="3" x14ac:dyDescent="0.2">
      <c r="B2762" s="4" t="str">
        <f t="shared" si="82"/>
        <v>0006320056</v>
      </c>
      <c r="C2762" s="5" t="str">
        <f>"114963"</f>
        <v>114963</v>
      </c>
      <c r="D2762" s="12" t="s">
        <v>735</v>
      </c>
      <c r="E2762" s="14" t="s">
        <v>375</v>
      </c>
      <c r="F2762" s="12" t="s">
        <v>73</v>
      </c>
      <c r="G2762" s="15">
        <v>56</v>
      </c>
      <c r="H2762" s="12" t="s">
        <v>732</v>
      </c>
      <c r="I2762" s="12" t="s">
        <v>509</v>
      </c>
      <c r="K2762" s="16">
        <v>4.1900000000000004</v>
      </c>
      <c r="L2762" s="16">
        <v>6.69</v>
      </c>
      <c r="M2762" s="16">
        <v>4.91</v>
      </c>
    </row>
    <row r="2763" spans="1:13" outlineLevel="3" x14ac:dyDescent="0.2">
      <c r="B2763" s="4" t="str">
        <f t="shared" si="82"/>
        <v>0006320056</v>
      </c>
      <c r="C2763" s="5" t="str">
        <f>"100609"</f>
        <v>100609</v>
      </c>
      <c r="D2763" s="12" t="s">
        <v>733</v>
      </c>
      <c r="E2763" s="14" t="s">
        <v>375</v>
      </c>
      <c r="F2763" s="12" t="s">
        <v>73</v>
      </c>
      <c r="G2763" s="15">
        <v>56</v>
      </c>
      <c r="H2763" s="12" t="s">
        <v>732</v>
      </c>
      <c r="I2763" s="12" t="s">
        <v>28</v>
      </c>
      <c r="K2763" s="16">
        <v>4.18</v>
      </c>
      <c r="L2763" s="16">
        <v>6.67</v>
      </c>
      <c r="M2763" s="16">
        <v>4.91</v>
      </c>
    </row>
    <row r="2764" spans="1:13" outlineLevel="3" x14ac:dyDescent="0.2">
      <c r="B2764" s="4" t="str">
        <f t="shared" si="82"/>
        <v>0006320056</v>
      </c>
      <c r="C2764" s="5" t="str">
        <f>"108942"</f>
        <v>108942</v>
      </c>
      <c r="D2764" s="12" t="s">
        <v>734</v>
      </c>
      <c r="E2764" s="14" t="s">
        <v>375</v>
      </c>
      <c r="F2764" s="12" t="s">
        <v>73</v>
      </c>
      <c r="G2764" s="15">
        <v>56</v>
      </c>
      <c r="H2764" s="12" t="s">
        <v>732</v>
      </c>
      <c r="I2764" s="12" t="s">
        <v>5</v>
      </c>
      <c r="K2764" s="16">
        <v>4.18</v>
      </c>
      <c r="L2764" s="16">
        <v>6.67</v>
      </c>
      <c r="M2764" s="16">
        <v>4.91</v>
      </c>
    </row>
    <row r="2765" spans="1:13" ht="33.75" outlineLevel="3" x14ac:dyDescent="0.2">
      <c r="B2765" s="4" t="str">
        <f t="shared" si="82"/>
        <v>0006320056</v>
      </c>
      <c r="C2765" s="5" t="str">
        <f>"182780"</f>
        <v>182780</v>
      </c>
      <c r="D2765" s="12" t="s">
        <v>738</v>
      </c>
      <c r="E2765" s="14" t="s">
        <v>375</v>
      </c>
      <c r="F2765" s="12" t="s">
        <v>3</v>
      </c>
      <c r="G2765" s="15">
        <v>56</v>
      </c>
      <c r="H2765" s="12" t="s">
        <v>732</v>
      </c>
      <c r="I2765" s="12" t="s">
        <v>70</v>
      </c>
      <c r="K2765" s="16">
        <v>4.18</v>
      </c>
      <c r="L2765" s="16">
        <v>6.67</v>
      </c>
      <c r="M2765" s="16">
        <v>4.91</v>
      </c>
    </row>
    <row r="2766" spans="1:13" ht="33.75" outlineLevel="3" x14ac:dyDescent="0.2">
      <c r="B2766" s="4" t="str">
        <f t="shared" si="82"/>
        <v>0006320056</v>
      </c>
      <c r="C2766" s="5" t="str">
        <f>"524126"</f>
        <v>524126</v>
      </c>
      <c r="D2766" s="12" t="s">
        <v>739</v>
      </c>
      <c r="E2766" s="14" t="s">
        <v>375</v>
      </c>
      <c r="F2766" s="12" t="s">
        <v>3</v>
      </c>
      <c r="G2766" s="15">
        <v>56</v>
      </c>
      <c r="H2766" s="12" t="s">
        <v>732</v>
      </c>
      <c r="I2766" s="12" t="s">
        <v>79</v>
      </c>
      <c r="K2766" s="16">
        <v>2.14</v>
      </c>
      <c r="L2766" s="16">
        <v>3.41</v>
      </c>
      <c r="M2766" s="16">
        <v>4.91</v>
      </c>
    </row>
    <row r="2767" spans="1:13" outlineLevel="2" x14ac:dyDescent="0.2"/>
    <row r="2768" spans="1:13" ht="22.5" outlineLevel="3" x14ac:dyDescent="0.2">
      <c r="B2768" s="4" t="str">
        <f t="shared" ref="B2768:B2778" si="83">"0007010030"</f>
        <v>0007010030</v>
      </c>
      <c r="C2768" s="5" t="str">
        <f>"000284"</f>
        <v>000284</v>
      </c>
      <c r="D2768" s="12" t="s">
        <v>781</v>
      </c>
      <c r="E2768" s="14" t="s">
        <v>111</v>
      </c>
      <c r="F2768" s="12" t="s">
        <v>432</v>
      </c>
      <c r="G2768" s="15">
        <v>28</v>
      </c>
      <c r="H2768" s="12" t="s">
        <v>732</v>
      </c>
      <c r="I2768" s="12" t="s">
        <v>737</v>
      </c>
      <c r="K2768" s="16">
        <v>29.53</v>
      </c>
      <c r="L2768" s="16">
        <v>44.87</v>
      </c>
      <c r="M2768" s="16">
        <v>11.96</v>
      </c>
    </row>
    <row r="2769" spans="2:13" ht="22.5" outlineLevel="3" x14ac:dyDescent="0.2">
      <c r="B2769" s="4" t="str">
        <f t="shared" si="83"/>
        <v>0007010030</v>
      </c>
      <c r="C2769" s="5" t="str">
        <f>"128058"</f>
        <v>128058</v>
      </c>
      <c r="D2769" s="12" t="s">
        <v>736</v>
      </c>
      <c r="E2769" s="14" t="s">
        <v>111</v>
      </c>
      <c r="F2769" s="12" t="s">
        <v>220</v>
      </c>
      <c r="G2769" s="15">
        <v>28</v>
      </c>
      <c r="H2769" s="12" t="s">
        <v>732</v>
      </c>
      <c r="I2769" s="12" t="s">
        <v>737</v>
      </c>
      <c r="K2769" s="16">
        <v>29.53</v>
      </c>
      <c r="L2769" s="16">
        <v>44.87</v>
      </c>
      <c r="M2769" s="16">
        <v>11.96</v>
      </c>
    </row>
    <row r="2770" spans="2:13" outlineLevel="3" x14ac:dyDescent="0.2">
      <c r="B2770" s="4" t="str">
        <f t="shared" si="83"/>
        <v>0007010030</v>
      </c>
      <c r="C2770" s="5" t="str">
        <f>"060781"</f>
        <v>060781</v>
      </c>
      <c r="D2770" s="12" t="s">
        <v>731</v>
      </c>
      <c r="E2770" s="14" t="s">
        <v>111</v>
      </c>
      <c r="F2770" s="12" t="s">
        <v>73</v>
      </c>
      <c r="G2770" s="15">
        <v>28</v>
      </c>
      <c r="H2770" s="12" t="s">
        <v>732</v>
      </c>
      <c r="I2770" s="12" t="s">
        <v>355</v>
      </c>
      <c r="J2770" s="2" t="s">
        <v>1400</v>
      </c>
      <c r="K2770" s="16">
        <v>8</v>
      </c>
      <c r="L2770" s="16">
        <v>12.76</v>
      </c>
      <c r="M2770" s="16">
        <v>11.96</v>
      </c>
    </row>
    <row r="2771" spans="2:13" ht="33.75" outlineLevel="3" x14ac:dyDescent="0.2">
      <c r="B2771" s="4" t="str">
        <f t="shared" si="83"/>
        <v>0007010030</v>
      </c>
      <c r="C2771" s="5" t="str">
        <f>"415923"</f>
        <v>415923</v>
      </c>
      <c r="D2771" s="12" t="s">
        <v>739</v>
      </c>
      <c r="E2771" s="14" t="s">
        <v>111</v>
      </c>
      <c r="F2771" s="12" t="s">
        <v>3</v>
      </c>
      <c r="G2771" s="15">
        <v>28</v>
      </c>
      <c r="H2771" s="12" t="s">
        <v>732</v>
      </c>
      <c r="I2771" s="12" t="s">
        <v>79</v>
      </c>
      <c r="J2771" s="2" t="s">
        <v>1400</v>
      </c>
      <c r="K2771" s="16">
        <v>6.56</v>
      </c>
      <c r="L2771" s="16">
        <v>10.46</v>
      </c>
      <c r="M2771" s="16">
        <v>11.96</v>
      </c>
    </row>
    <row r="2772" spans="2:13" ht="22.5" outlineLevel="3" x14ac:dyDescent="0.2">
      <c r="B2772" s="4" t="str">
        <f t="shared" si="83"/>
        <v>0007010030</v>
      </c>
      <c r="C2772" s="5" t="str">
        <f>"067271"</f>
        <v>067271</v>
      </c>
      <c r="D2772" s="12" t="s">
        <v>733</v>
      </c>
      <c r="E2772" s="14" t="s">
        <v>111</v>
      </c>
      <c r="F2772" s="12" t="s">
        <v>432</v>
      </c>
      <c r="G2772" s="15">
        <v>28</v>
      </c>
      <c r="H2772" s="12" t="s">
        <v>732</v>
      </c>
      <c r="I2772" s="12" t="s">
        <v>28</v>
      </c>
      <c r="K2772" s="16">
        <v>6.56</v>
      </c>
      <c r="L2772" s="16">
        <v>10.46</v>
      </c>
      <c r="M2772" s="16">
        <v>11.96</v>
      </c>
    </row>
    <row r="2773" spans="2:13" outlineLevel="3" x14ac:dyDescent="0.2">
      <c r="B2773" s="4" t="str">
        <f t="shared" si="83"/>
        <v>0007010030</v>
      </c>
      <c r="C2773" s="5" t="str">
        <f>"079653"</f>
        <v>079653</v>
      </c>
      <c r="D2773" s="12" t="s">
        <v>733</v>
      </c>
      <c r="E2773" s="14" t="s">
        <v>111</v>
      </c>
      <c r="F2773" s="12" t="s">
        <v>73</v>
      </c>
      <c r="G2773" s="15">
        <v>28</v>
      </c>
      <c r="H2773" s="12" t="s">
        <v>732</v>
      </c>
      <c r="I2773" s="12" t="s">
        <v>28</v>
      </c>
      <c r="K2773" s="16">
        <v>6.56</v>
      </c>
      <c r="L2773" s="16">
        <v>10.46</v>
      </c>
      <c r="M2773" s="16">
        <v>11.96</v>
      </c>
    </row>
    <row r="2774" spans="2:13" outlineLevel="3" x14ac:dyDescent="0.2">
      <c r="B2774" s="4" t="str">
        <f t="shared" si="83"/>
        <v>0007010030</v>
      </c>
      <c r="C2774" s="5" t="str">
        <f>"108931"</f>
        <v>108931</v>
      </c>
      <c r="D2774" s="12" t="s">
        <v>734</v>
      </c>
      <c r="E2774" s="14" t="s">
        <v>111</v>
      </c>
      <c r="F2774" s="12" t="s">
        <v>73</v>
      </c>
      <c r="G2774" s="15">
        <v>28</v>
      </c>
      <c r="H2774" s="12" t="s">
        <v>732</v>
      </c>
      <c r="I2774" s="12" t="s">
        <v>5</v>
      </c>
      <c r="K2774" s="16">
        <v>6.56</v>
      </c>
      <c r="L2774" s="16">
        <v>10.46</v>
      </c>
      <c r="M2774" s="16">
        <v>11.96</v>
      </c>
    </row>
    <row r="2775" spans="2:13" ht="22.5" outlineLevel="3" x14ac:dyDescent="0.2">
      <c r="B2775" s="4" t="str">
        <f t="shared" si="83"/>
        <v>0007010030</v>
      </c>
      <c r="C2775" s="5" t="str">
        <f>"114952"</f>
        <v>114952</v>
      </c>
      <c r="D2775" s="12" t="s">
        <v>735</v>
      </c>
      <c r="E2775" s="14" t="s">
        <v>111</v>
      </c>
      <c r="F2775" s="12" t="s">
        <v>73</v>
      </c>
      <c r="G2775" s="15">
        <v>28</v>
      </c>
      <c r="H2775" s="12" t="s">
        <v>732</v>
      </c>
      <c r="I2775" s="12" t="s">
        <v>509</v>
      </c>
      <c r="K2775" s="16">
        <v>6.56</v>
      </c>
      <c r="L2775" s="16">
        <v>10.46</v>
      </c>
      <c r="M2775" s="16">
        <v>11.96</v>
      </c>
    </row>
    <row r="2776" spans="2:13" ht="22.5" outlineLevel="3" x14ac:dyDescent="0.2">
      <c r="B2776" s="4" t="str">
        <f t="shared" si="83"/>
        <v>0007010030</v>
      </c>
      <c r="C2776" s="5" t="str">
        <f>"114996"</f>
        <v>114996</v>
      </c>
      <c r="D2776" s="12" t="s">
        <v>735</v>
      </c>
      <c r="E2776" s="14" t="s">
        <v>111</v>
      </c>
      <c r="F2776" s="12" t="s">
        <v>432</v>
      </c>
      <c r="G2776" s="15">
        <v>28</v>
      </c>
      <c r="H2776" s="12" t="s">
        <v>732</v>
      </c>
      <c r="I2776" s="12" t="s">
        <v>509</v>
      </c>
      <c r="K2776" s="16">
        <v>6.56</v>
      </c>
      <c r="L2776" s="16">
        <v>10.46</v>
      </c>
      <c r="M2776" s="16">
        <v>11.96</v>
      </c>
    </row>
    <row r="2777" spans="2:13" ht="22.5" outlineLevel="3" x14ac:dyDescent="0.2">
      <c r="B2777" s="4" t="str">
        <f t="shared" si="83"/>
        <v>0007010030</v>
      </c>
      <c r="C2777" s="5" t="str">
        <f>"505977"</f>
        <v>505977</v>
      </c>
      <c r="D2777" s="12" t="s">
        <v>734</v>
      </c>
      <c r="E2777" s="14" t="s">
        <v>111</v>
      </c>
      <c r="F2777" s="12" t="s">
        <v>432</v>
      </c>
      <c r="G2777" s="15">
        <v>28</v>
      </c>
      <c r="H2777" s="12" t="s">
        <v>732</v>
      </c>
      <c r="I2777" s="12" t="s">
        <v>782</v>
      </c>
      <c r="K2777" s="16">
        <v>6.56</v>
      </c>
      <c r="L2777" s="16">
        <v>10.46</v>
      </c>
      <c r="M2777" s="16">
        <v>11.96</v>
      </c>
    </row>
    <row r="2778" spans="2:13" ht="33.75" outlineLevel="3" x14ac:dyDescent="0.2">
      <c r="B2778" s="4" t="str">
        <f t="shared" si="83"/>
        <v>0007010030</v>
      </c>
      <c r="C2778" s="5" t="str">
        <f>"517517"</f>
        <v>517517</v>
      </c>
      <c r="D2778" s="12" t="s">
        <v>738</v>
      </c>
      <c r="E2778" s="14" t="s">
        <v>111</v>
      </c>
      <c r="F2778" s="12" t="s">
        <v>3</v>
      </c>
      <c r="G2778" s="15">
        <v>28</v>
      </c>
      <c r="H2778" s="12" t="s">
        <v>732</v>
      </c>
      <c r="I2778" s="12" t="s">
        <v>70</v>
      </c>
      <c r="K2778" s="16">
        <v>6.56</v>
      </c>
      <c r="L2778" s="16">
        <v>10.46</v>
      </c>
      <c r="M2778" s="16">
        <v>11.96</v>
      </c>
    </row>
    <row r="2779" spans="2:13" outlineLevel="2" x14ac:dyDescent="0.2"/>
    <row r="2780" spans="2:13" ht="22.5" outlineLevel="3" x14ac:dyDescent="0.2">
      <c r="B2780" s="4" t="str">
        <f t="shared" ref="B2780:B2788" si="84">"0007020030"</f>
        <v>0007020030</v>
      </c>
      <c r="C2780" s="5" t="str">
        <f>"000250"</f>
        <v>000250</v>
      </c>
      <c r="D2780" s="12" t="s">
        <v>781</v>
      </c>
      <c r="E2780" s="14" t="s">
        <v>82</v>
      </c>
      <c r="F2780" s="12" t="s">
        <v>432</v>
      </c>
      <c r="G2780" s="15">
        <v>28</v>
      </c>
      <c r="H2780" s="12" t="s">
        <v>732</v>
      </c>
      <c r="I2780" s="12" t="s">
        <v>737</v>
      </c>
      <c r="K2780" s="16">
        <v>59.05</v>
      </c>
      <c r="L2780" s="16">
        <v>87.29</v>
      </c>
      <c r="M2780" s="16">
        <v>12.71</v>
      </c>
    </row>
    <row r="2781" spans="2:13" ht="22.5" outlineLevel="3" x14ac:dyDescent="0.2">
      <c r="B2781" s="4" t="str">
        <f t="shared" si="84"/>
        <v>0007020030</v>
      </c>
      <c r="C2781" s="5" t="str">
        <f>"145698"</f>
        <v>145698</v>
      </c>
      <c r="D2781" s="12" t="s">
        <v>736</v>
      </c>
      <c r="E2781" s="14" t="s">
        <v>82</v>
      </c>
      <c r="F2781" s="12" t="s">
        <v>220</v>
      </c>
      <c r="G2781" s="15">
        <v>28</v>
      </c>
      <c r="H2781" s="12" t="s">
        <v>732</v>
      </c>
      <c r="I2781" s="12" t="s">
        <v>737</v>
      </c>
      <c r="K2781" s="16">
        <v>59.05</v>
      </c>
      <c r="L2781" s="16">
        <v>87.29</v>
      </c>
      <c r="M2781" s="16">
        <v>12.71</v>
      </c>
    </row>
    <row r="2782" spans="2:13" ht="22.5" outlineLevel="3" x14ac:dyDescent="0.2">
      <c r="B2782" s="4" t="str">
        <f t="shared" si="84"/>
        <v>0007020030</v>
      </c>
      <c r="C2782" s="5" t="str">
        <f>"040045"</f>
        <v>040045</v>
      </c>
      <c r="D2782" s="12" t="s">
        <v>734</v>
      </c>
      <c r="E2782" s="14" t="s">
        <v>82</v>
      </c>
      <c r="F2782" s="12" t="s">
        <v>432</v>
      </c>
      <c r="G2782" s="15">
        <v>28</v>
      </c>
      <c r="H2782" s="12" t="s">
        <v>732</v>
      </c>
      <c r="I2782" s="12" t="s">
        <v>782</v>
      </c>
      <c r="K2782" s="16">
        <v>7.03</v>
      </c>
      <c r="L2782" s="16">
        <v>11.21</v>
      </c>
      <c r="M2782" s="16">
        <v>12.71</v>
      </c>
    </row>
    <row r="2783" spans="2:13" outlineLevel="3" x14ac:dyDescent="0.2">
      <c r="B2783" s="4" t="str">
        <f t="shared" si="84"/>
        <v>0007020030</v>
      </c>
      <c r="C2783" s="5" t="str">
        <f>"108875"</f>
        <v>108875</v>
      </c>
      <c r="D2783" s="12" t="s">
        <v>734</v>
      </c>
      <c r="E2783" s="14" t="s">
        <v>82</v>
      </c>
      <c r="F2783" s="12" t="s">
        <v>73</v>
      </c>
      <c r="G2783" s="15">
        <v>28</v>
      </c>
      <c r="H2783" s="12" t="s">
        <v>732</v>
      </c>
      <c r="I2783" s="12" t="s">
        <v>5</v>
      </c>
      <c r="K2783" s="16">
        <v>7.03</v>
      </c>
      <c r="L2783" s="16">
        <v>11.21</v>
      </c>
      <c r="M2783" s="16">
        <v>12.71</v>
      </c>
    </row>
    <row r="2784" spans="2:13" ht="22.5" outlineLevel="3" x14ac:dyDescent="0.2">
      <c r="B2784" s="4" t="str">
        <f t="shared" si="84"/>
        <v>0007020030</v>
      </c>
      <c r="C2784" s="5" t="str">
        <f>"114974"</f>
        <v>114974</v>
      </c>
      <c r="D2784" s="12" t="s">
        <v>735</v>
      </c>
      <c r="E2784" s="14" t="s">
        <v>82</v>
      </c>
      <c r="F2784" s="12" t="s">
        <v>73</v>
      </c>
      <c r="G2784" s="15">
        <v>28</v>
      </c>
      <c r="H2784" s="12" t="s">
        <v>732</v>
      </c>
      <c r="I2784" s="12" t="s">
        <v>509</v>
      </c>
      <c r="K2784" s="16">
        <v>7.03</v>
      </c>
      <c r="L2784" s="16">
        <v>11.21</v>
      </c>
      <c r="M2784" s="16">
        <v>12.71</v>
      </c>
    </row>
    <row r="2785" spans="2:13" ht="22.5" outlineLevel="3" x14ac:dyDescent="0.2">
      <c r="B2785" s="4" t="str">
        <f t="shared" si="84"/>
        <v>0007020030</v>
      </c>
      <c r="C2785" s="5" t="str">
        <f>"115007"</f>
        <v>115007</v>
      </c>
      <c r="D2785" s="12" t="s">
        <v>735</v>
      </c>
      <c r="E2785" s="14" t="s">
        <v>82</v>
      </c>
      <c r="F2785" s="12" t="s">
        <v>432</v>
      </c>
      <c r="G2785" s="15">
        <v>28</v>
      </c>
      <c r="H2785" s="12" t="s">
        <v>732</v>
      </c>
      <c r="I2785" s="12" t="s">
        <v>509</v>
      </c>
      <c r="K2785" s="16">
        <v>7.03</v>
      </c>
      <c r="L2785" s="16">
        <v>11.21</v>
      </c>
      <c r="M2785" s="16">
        <v>12.71</v>
      </c>
    </row>
    <row r="2786" spans="2:13" ht="22.5" outlineLevel="3" x14ac:dyDescent="0.2">
      <c r="B2786" s="4" t="str">
        <f t="shared" si="84"/>
        <v>0007020030</v>
      </c>
      <c r="C2786" s="5" t="str">
        <f>"116091"</f>
        <v>116091</v>
      </c>
      <c r="D2786" s="12" t="s">
        <v>733</v>
      </c>
      <c r="E2786" s="14" t="s">
        <v>82</v>
      </c>
      <c r="F2786" s="12" t="s">
        <v>432</v>
      </c>
      <c r="G2786" s="15">
        <v>28</v>
      </c>
      <c r="H2786" s="12" t="s">
        <v>732</v>
      </c>
      <c r="I2786" s="12" t="s">
        <v>28</v>
      </c>
      <c r="K2786" s="16">
        <v>7.03</v>
      </c>
      <c r="L2786" s="16">
        <v>11.21</v>
      </c>
      <c r="M2786" s="16">
        <v>12.71</v>
      </c>
    </row>
    <row r="2787" spans="2:13" outlineLevel="3" x14ac:dyDescent="0.2">
      <c r="B2787" s="4" t="str">
        <f t="shared" si="84"/>
        <v>0007020030</v>
      </c>
      <c r="C2787" s="5" t="str">
        <f>"182290"</f>
        <v>182290</v>
      </c>
      <c r="D2787" s="12" t="s">
        <v>733</v>
      </c>
      <c r="E2787" s="14" t="s">
        <v>82</v>
      </c>
      <c r="F2787" s="12" t="s">
        <v>73</v>
      </c>
      <c r="G2787" s="15">
        <v>28</v>
      </c>
      <c r="H2787" s="12" t="s">
        <v>732</v>
      </c>
      <c r="I2787" s="12" t="s">
        <v>28</v>
      </c>
      <c r="K2787" s="16">
        <v>7.03</v>
      </c>
      <c r="L2787" s="16">
        <v>11.21</v>
      </c>
      <c r="M2787" s="16">
        <v>12.71</v>
      </c>
    </row>
    <row r="2788" spans="2:13" ht="33.75" outlineLevel="3" x14ac:dyDescent="0.2">
      <c r="B2788" s="4" t="str">
        <f t="shared" si="84"/>
        <v>0007020030</v>
      </c>
      <c r="C2788" s="5" t="str">
        <f>"429715"</f>
        <v>429715</v>
      </c>
      <c r="D2788" s="12" t="s">
        <v>739</v>
      </c>
      <c r="E2788" s="14" t="s">
        <v>82</v>
      </c>
      <c r="F2788" s="12" t="s">
        <v>3</v>
      </c>
      <c r="G2788" s="15">
        <v>28</v>
      </c>
      <c r="H2788" s="12" t="s">
        <v>732</v>
      </c>
      <c r="I2788" s="12" t="s">
        <v>79</v>
      </c>
      <c r="J2788" s="2" t="s">
        <v>1400</v>
      </c>
      <c r="K2788" s="16">
        <v>6.09</v>
      </c>
      <c r="L2788" s="16">
        <v>9.7100000000000009</v>
      </c>
      <c r="M2788" s="16">
        <v>12.71</v>
      </c>
    </row>
    <row r="2789" spans="2:13" outlineLevel="2" x14ac:dyDescent="0.2"/>
    <row r="2790" spans="2:13" ht="22.5" outlineLevel="3" x14ac:dyDescent="0.2">
      <c r="B2790" s="4" t="str">
        <f t="shared" ref="B2790:B2796" si="85">"0007020056"</f>
        <v>0007020056</v>
      </c>
      <c r="C2790" s="5" t="str">
        <f>"129106"</f>
        <v>129106</v>
      </c>
      <c r="D2790" s="12" t="s">
        <v>736</v>
      </c>
      <c r="E2790" s="14" t="s">
        <v>82</v>
      </c>
      <c r="F2790" s="12" t="s">
        <v>220</v>
      </c>
      <c r="G2790" s="15">
        <v>56</v>
      </c>
      <c r="H2790" s="12" t="s">
        <v>732</v>
      </c>
      <c r="I2790" s="12" t="s">
        <v>737</v>
      </c>
      <c r="K2790" s="16">
        <v>115.04</v>
      </c>
      <c r="L2790" s="16">
        <v>162.72</v>
      </c>
      <c r="M2790" s="16">
        <v>13.4</v>
      </c>
    </row>
    <row r="2791" spans="2:13" outlineLevel="3" x14ac:dyDescent="0.2">
      <c r="B2791" s="4" t="str">
        <f t="shared" si="85"/>
        <v>0007020056</v>
      </c>
      <c r="C2791" s="5" t="str">
        <f>"576610"</f>
        <v>576610</v>
      </c>
      <c r="D2791" s="12" t="s">
        <v>731</v>
      </c>
      <c r="E2791" s="14" t="s">
        <v>82</v>
      </c>
      <c r="F2791" s="12" t="s">
        <v>73</v>
      </c>
      <c r="G2791" s="15">
        <v>56</v>
      </c>
      <c r="H2791" s="12" t="s">
        <v>732</v>
      </c>
      <c r="I2791" s="12" t="s">
        <v>355</v>
      </c>
      <c r="J2791" s="2" t="s">
        <v>1400</v>
      </c>
      <c r="K2791" s="16">
        <v>19.18</v>
      </c>
      <c r="L2791" s="16">
        <v>29.49</v>
      </c>
      <c r="M2791" s="16">
        <v>13.4</v>
      </c>
    </row>
    <row r="2792" spans="2:13" outlineLevel="3" x14ac:dyDescent="0.2">
      <c r="B2792" s="4" t="str">
        <f t="shared" si="85"/>
        <v>0007020056</v>
      </c>
      <c r="C2792" s="5" t="str">
        <f>"108953"</f>
        <v>108953</v>
      </c>
      <c r="D2792" s="12" t="s">
        <v>734</v>
      </c>
      <c r="E2792" s="14" t="s">
        <v>82</v>
      </c>
      <c r="F2792" s="12" t="s">
        <v>73</v>
      </c>
      <c r="G2792" s="15">
        <v>56</v>
      </c>
      <c r="H2792" s="12" t="s">
        <v>732</v>
      </c>
      <c r="I2792" s="12" t="s">
        <v>5</v>
      </c>
      <c r="K2792" s="16">
        <v>7.46</v>
      </c>
      <c r="L2792" s="16">
        <v>11.9</v>
      </c>
      <c r="M2792" s="16">
        <v>13.4</v>
      </c>
    </row>
    <row r="2793" spans="2:13" ht="22.5" outlineLevel="3" x14ac:dyDescent="0.2">
      <c r="B2793" s="4" t="str">
        <f t="shared" si="85"/>
        <v>0007020056</v>
      </c>
      <c r="C2793" s="5" t="str">
        <f>"114985"</f>
        <v>114985</v>
      </c>
      <c r="D2793" s="12" t="s">
        <v>735</v>
      </c>
      <c r="E2793" s="14" t="s">
        <v>82</v>
      </c>
      <c r="F2793" s="12" t="s">
        <v>73</v>
      </c>
      <c r="G2793" s="15">
        <v>56</v>
      </c>
      <c r="H2793" s="12" t="s">
        <v>732</v>
      </c>
      <c r="I2793" s="12" t="s">
        <v>509</v>
      </c>
      <c r="K2793" s="16">
        <v>7.46</v>
      </c>
      <c r="L2793" s="16">
        <v>11.9</v>
      </c>
      <c r="M2793" s="16">
        <v>13.4</v>
      </c>
    </row>
    <row r="2794" spans="2:13" ht="33.75" outlineLevel="3" x14ac:dyDescent="0.2">
      <c r="B2794" s="4" t="str">
        <f t="shared" si="85"/>
        <v>0007020056</v>
      </c>
      <c r="C2794" s="5" t="str">
        <f>"142835"</f>
        <v>142835</v>
      </c>
      <c r="D2794" s="12" t="s">
        <v>738</v>
      </c>
      <c r="E2794" s="14" t="s">
        <v>82</v>
      </c>
      <c r="F2794" s="12" t="s">
        <v>3</v>
      </c>
      <c r="G2794" s="15">
        <v>56</v>
      </c>
      <c r="H2794" s="12" t="s">
        <v>732</v>
      </c>
      <c r="I2794" s="12" t="s">
        <v>70</v>
      </c>
      <c r="K2794" s="16">
        <v>7.46</v>
      </c>
      <c r="L2794" s="16">
        <v>11.9</v>
      </c>
      <c r="M2794" s="16">
        <v>13.4</v>
      </c>
    </row>
    <row r="2795" spans="2:13" outlineLevel="3" x14ac:dyDescent="0.2">
      <c r="B2795" s="4" t="str">
        <f t="shared" si="85"/>
        <v>0007020056</v>
      </c>
      <c r="C2795" s="5" t="str">
        <f>"447665"</f>
        <v>447665</v>
      </c>
      <c r="D2795" s="12" t="s">
        <v>733</v>
      </c>
      <c r="E2795" s="14" t="s">
        <v>82</v>
      </c>
      <c r="F2795" s="12" t="s">
        <v>73</v>
      </c>
      <c r="G2795" s="15">
        <v>56</v>
      </c>
      <c r="H2795" s="12" t="s">
        <v>732</v>
      </c>
      <c r="I2795" s="12" t="s">
        <v>28</v>
      </c>
      <c r="K2795" s="16">
        <v>7.46</v>
      </c>
      <c r="L2795" s="16">
        <v>11.9</v>
      </c>
      <c r="M2795" s="16">
        <v>13.4</v>
      </c>
    </row>
    <row r="2796" spans="2:13" ht="33.75" outlineLevel="3" x14ac:dyDescent="0.2">
      <c r="B2796" s="4" t="str">
        <f t="shared" si="85"/>
        <v>0007020056</v>
      </c>
      <c r="C2796" s="5" t="str">
        <f>"533395"</f>
        <v>533395</v>
      </c>
      <c r="D2796" s="12" t="s">
        <v>739</v>
      </c>
      <c r="E2796" s="14" t="s">
        <v>82</v>
      </c>
      <c r="F2796" s="12" t="s">
        <v>3</v>
      </c>
      <c r="G2796" s="15">
        <v>56</v>
      </c>
      <c r="H2796" s="12" t="s">
        <v>732</v>
      </c>
      <c r="I2796" s="12" t="s">
        <v>79</v>
      </c>
      <c r="J2796" s="2" t="s">
        <v>1400</v>
      </c>
      <c r="K2796" s="16">
        <v>6.52</v>
      </c>
      <c r="L2796" s="16">
        <v>10.4</v>
      </c>
      <c r="M2796" s="16">
        <v>13.4</v>
      </c>
    </row>
    <row r="2797" spans="2:13" outlineLevel="2" x14ac:dyDescent="0.2"/>
    <row r="2798" spans="2:13" ht="22.5" outlineLevel="3" x14ac:dyDescent="0.2">
      <c r="B2798" s="4" t="str">
        <f>"0010850030"</f>
        <v>0010850030</v>
      </c>
      <c r="C2798" s="5" t="str">
        <f>"115018"</f>
        <v>115018</v>
      </c>
      <c r="D2798" s="12" t="s">
        <v>735</v>
      </c>
      <c r="E2798" s="14" t="s">
        <v>25</v>
      </c>
      <c r="F2798" s="12" t="s">
        <v>432</v>
      </c>
      <c r="G2798" s="15">
        <v>28</v>
      </c>
      <c r="H2798" s="12" t="s">
        <v>732</v>
      </c>
      <c r="I2798" s="12" t="s">
        <v>509</v>
      </c>
      <c r="K2798" s="16">
        <v>79.72</v>
      </c>
      <c r="L2798" s="16">
        <v>115.71</v>
      </c>
      <c r="M2798" s="16">
        <v>117.71</v>
      </c>
    </row>
    <row r="2799" spans="2:13" ht="22.5" outlineLevel="3" x14ac:dyDescent="0.2">
      <c r="B2799" s="4" t="str">
        <f>"0010850030"</f>
        <v>0010850030</v>
      </c>
      <c r="C2799" s="5" t="str">
        <f>"479591"</f>
        <v>479591</v>
      </c>
      <c r="D2799" s="12" t="s">
        <v>733</v>
      </c>
      <c r="E2799" s="14" t="s">
        <v>25</v>
      </c>
      <c r="F2799" s="12" t="s">
        <v>432</v>
      </c>
      <c r="G2799" s="15">
        <v>28</v>
      </c>
      <c r="H2799" s="12" t="s">
        <v>732</v>
      </c>
      <c r="I2799" s="12" t="s">
        <v>28</v>
      </c>
      <c r="K2799" s="16">
        <v>79.72</v>
      </c>
      <c r="L2799" s="16">
        <v>115.71</v>
      </c>
      <c r="M2799" s="16">
        <v>117.71</v>
      </c>
    </row>
    <row r="2800" spans="2:13" ht="22.5" outlineLevel="3" x14ac:dyDescent="0.2">
      <c r="B2800" s="4" t="str">
        <f>"0010850030"</f>
        <v>0010850030</v>
      </c>
      <c r="C2800" s="5" t="str">
        <f>"521551"</f>
        <v>521551</v>
      </c>
      <c r="D2800" s="12" t="s">
        <v>734</v>
      </c>
      <c r="E2800" s="14" t="s">
        <v>25</v>
      </c>
      <c r="F2800" s="12" t="s">
        <v>432</v>
      </c>
      <c r="G2800" s="15">
        <v>28</v>
      </c>
      <c r="H2800" s="12" t="s">
        <v>732</v>
      </c>
      <c r="I2800" s="12" t="s">
        <v>782</v>
      </c>
      <c r="K2800" s="16">
        <v>79.72</v>
      </c>
      <c r="L2800" s="16">
        <v>115.71</v>
      </c>
      <c r="M2800" s="16">
        <v>117.71</v>
      </c>
    </row>
    <row r="2801" spans="1:13" outlineLevel="3" x14ac:dyDescent="0.2">
      <c r="B2801" s="4" t="str">
        <f>"0010850030"</f>
        <v>0010850030</v>
      </c>
      <c r="C2801" s="5" t="str">
        <f>"555027"</f>
        <v>555027</v>
      </c>
      <c r="D2801" s="12" t="s">
        <v>733</v>
      </c>
      <c r="E2801" s="14" t="s">
        <v>25</v>
      </c>
      <c r="F2801" s="12" t="s">
        <v>73</v>
      </c>
      <c r="G2801" s="15">
        <v>28</v>
      </c>
      <c r="H2801" s="12" t="s">
        <v>732</v>
      </c>
      <c r="I2801" s="12" t="s">
        <v>28</v>
      </c>
      <c r="K2801" s="16">
        <v>79.72</v>
      </c>
      <c r="L2801" s="16">
        <v>115.71</v>
      </c>
      <c r="M2801" s="16">
        <v>117.71</v>
      </c>
    </row>
    <row r="2802" spans="1:13" outlineLevel="2" x14ac:dyDescent="0.2"/>
    <row r="2803" spans="1:13" ht="22.5" outlineLevel="3" x14ac:dyDescent="0.2">
      <c r="B2803" s="4" t="str">
        <f>"0010860030"</f>
        <v>0010860030</v>
      </c>
      <c r="C2803" s="5" t="str">
        <f>"176707"</f>
        <v>176707</v>
      </c>
      <c r="D2803" s="12" t="s">
        <v>733</v>
      </c>
      <c r="E2803" s="14" t="s">
        <v>14</v>
      </c>
      <c r="F2803" s="12" t="s">
        <v>432</v>
      </c>
      <c r="G2803" s="15">
        <v>28</v>
      </c>
      <c r="H2803" s="12" t="s">
        <v>732</v>
      </c>
      <c r="I2803" s="12" t="s">
        <v>28</v>
      </c>
      <c r="J2803" s="2" t="s">
        <v>1400</v>
      </c>
      <c r="K2803" s="16" t="s">
        <v>1401</v>
      </c>
      <c r="L2803" s="16" t="s">
        <v>1401</v>
      </c>
      <c r="M2803" s="16">
        <v>139.63</v>
      </c>
    </row>
    <row r="2804" spans="1:13" ht="22.5" outlineLevel="3" x14ac:dyDescent="0.2">
      <c r="B2804" s="4" t="str">
        <f>"0010860030"</f>
        <v>0010860030</v>
      </c>
      <c r="C2804" s="5" t="str">
        <f>"115029"</f>
        <v>115029</v>
      </c>
      <c r="D2804" s="12" t="s">
        <v>735</v>
      </c>
      <c r="E2804" s="14" t="s">
        <v>14</v>
      </c>
      <c r="F2804" s="12" t="s">
        <v>432</v>
      </c>
      <c r="G2804" s="15">
        <v>28</v>
      </c>
      <c r="H2804" s="12" t="s">
        <v>732</v>
      </c>
      <c r="I2804" s="12" t="s">
        <v>509</v>
      </c>
      <c r="K2804" s="16">
        <v>95.66</v>
      </c>
      <c r="L2804" s="16">
        <v>137.63</v>
      </c>
      <c r="M2804" s="16">
        <v>139.63</v>
      </c>
    </row>
    <row r="2805" spans="1:13" ht="22.5" outlineLevel="3" x14ac:dyDescent="0.2">
      <c r="B2805" s="4" t="str">
        <f>"0010860030"</f>
        <v>0010860030</v>
      </c>
      <c r="C2805" s="5" t="str">
        <f>"167057"</f>
        <v>167057</v>
      </c>
      <c r="D2805" s="12" t="s">
        <v>734</v>
      </c>
      <c r="E2805" s="14" t="s">
        <v>14</v>
      </c>
      <c r="F2805" s="12" t="s">
        <v>432</v>
      </c>
      <c r="G2805" s="15">
        <v>28</v>
      </c>
      <c r="H2805" s="12" t="s">
        <v>732</v>
      </c>
      <c r="I2805" s="12" t="s">
        <v>782</v>
      </c>
      <c r="K2805" s="16">
        <v>95.66</v>
      </c>
      <c r="L2805" s="16">
        <v>137.63</v>
      </c>
      <c r="M2805" s="16">
        <v>139.63</v>
      </c>
    </row>
    <row r="2806" spans="1:13" outlineLevel="2" x14ac:dyDescent="0.2"/>
    <row r="2807" spans="1:13" outlineLevel="3" x14ac:dyDescent="0.2">
      <c r="B2807" s="4" t="str">
        <f>"0010870030"</f>
        <v>0010870030</v>
      </c>
      <c r="C2807" s="5" t="str">
        <f>"559735"</f>
        <v>559735</v>
      </c>
      <c r="D2807" s="12" t="s">
        <v>733</v>
      </c>
      <c r="E2807" s="14" t="s">
        <v>136</v>
      </c>
      <c r="F2807" s="12" t="s">
        <v>73</v>
      </c>
      <c r="G2807" s="15">
        <v>28</v>
      </c>
      <c r="H2807" s="12" t="s">
        <v>732</v>
      </c>
      <c r="I2807" s="12" t="s">
        <v>28</v>
      </c>
      <c r="K2807" s="16">
        <v>13.12</v>
      </c>
      <c r="L2807" s="16">
        <v>20.49</v>
      </c>
      <c r="M2807" s="16">
        <v>20.5</v>
      </c>
    </row>
    <row r="2808" spans="1:13" ht="33.75" outlineLevel="3" x14ac:dyDescent="0.2">
      <c r="B2808" s="4" t="str">
        <f>"0010870030"</f>
        <v>0010870030</v>
      </c>
      <c r="C2808" s="5" t="str">
        <f>"564819"</f>
        <v>564819</v>
      </c>
      <c r="D2808" s="12" t="s">
        <v>739</v>
      </c>
      <c r="E2808" s="14" t="s">
        <v>136</v>
      </c>
      <c r="F2808" s="12" t="s">
        <v>3</v>
      </c>
      <c r="G2808" s="15">
        <v>28</v>
      </c>
      <c r="H2808" s="12" t="s">
        <v>732</v>
      </c>
      <c r="I2808" s="12" t="s">
        <v>79</v>
      </c>
      <c r="K2808" s="16">
        <v>12.4</v>
      </c>
      <c r="L2808" s="16">
        <v>19.43</v>
      </c>
      <c r="M2808" s="16">
        <v>20.5</v>
      </c>
    </row>
    <row r="2809" spans="1:13" ht="33.75" outlineLevel="3" x14ac:dyDescent="0.2">
      <c r="B2809" s="4" t="str">
        <f>"0010870030"</f>
        <v>0010870030</v>
      </c>
      <c r="C2809" s="5" t="str">
        <f>"492270"</f>
        <v>492270</v>
      </c>
      <c r="D2809" s="12" t="s">
        <v>1085</v>
      </c>
      <c r="E2809" s="14" t="s">
        <v>136</v>
      </c>
      <c r="F2809" s="12" t="s">
        <v>3</v>
      </c>
      <c r="G2809" s="15">
        <v>28</v>
      </c>
      <c r="H2809" s="12" t="s">
        <v>732</v>
      </c>
      <c r="I2809" s="12" t="s">
        <v>748</v>
      </c>
      <c r="K2809" s="16">
        <v>12.11</v>
      </c>
      <c r="L2809" s="16">
        <v>19</v>
      </c>
      <c r="M2809" s="16">
        <v>20.5</v>
      </c>
    </row>
    <row r="2810" spans="1:13" outlineLevel="1" x14ac:dyDescent="0.2">
      <c r="A2810" s="3"/>
    </row>
    <row r="2811" spans="1:13" outlineLevel="2" x14ac:dyDescent="0.2">
      <c r="A2811" s="3" t="s">
        <v>1556</v>
      </c>
    </row>
    <row r="2812" spans="1:13" ht="33.75" outlineLevel="3" x14ac:dyDescent="0.2">
      <c r="B2812" s="4" t="str">
        <f>"0006660030"</f>
        <v>0006660030</v>
      </c>
      <c r="C2812" s="5" t="str">
        <f>"075505"</f>
        <v>075505</v>
      </c>
      <c r="D2812" s="12" t="s">
        <v>760</v>
      </c>
      <c r="E2812" s="14" t="s">
        <v>118</v>
      </c>
      <c r="F2812" s="12" t="s">
        <v>3</v>
      </c>
      <c r="G2812" s="15">
        <v>30</v>
      </c>
      <c r="H2812" s="12" t="s">
        <v>759</v>
      </c>
      <c r="I2812" s="12" t="s">
        <v>104</v>
      </c>
      <c r="K2812" s="16">
        <v>2.4500000000000002</v>
      </c>
      <c r="L2812" s="16">
        <v>3.91</v>
      </c>
      <c r="M2812" s="16">
        <v>5.41</v>
      </c>
    </row>
    <row r="2813" spans="1:13" ht="33.75" outlineLevel="3" x14ac:dyDescent="0.2">
      <c r="B2813" s="4" t="str">
        <f>"0006660030"</f>
        <v>0006660030</v>
      </c>
      <c r="C2813" s="5" t="str">
        <f>"187143"</f>
        <v>187143</v>
      </c>
      <c r="D2813" s="12" t="s">
        <v>758</v>
      </c>
      <c r="E2813" s="14" t="s">
        <v>118</v>
      </c>
      <c r="F2813" s="12" t="s">
        <v>3</v>
      </c>
      <c r="G2813" s="15">
        <v>30</v>
      </c>
      <c r="H2813" s="12" t="s">
        <v>759</v>
      </c>
      <c r="I2813" s="12" t="s">
        <v>79</v>
      </c>
      <c r="J2813" s="2" t="s">
        <v>1400</v>
      </c>
      <c r="K2813" s="16">
        <v>1.52</v>
      </c>
      <c r="L2813" s="16">
        <v>2.42</v>
      </c>
      <c r="M2813" s="16">
        <v>5.41</v>
      </c>
    </row>
    <row r="2814" spans="1:13" outlineLevel="2" x14ac:dyDescent="0.2"/>
    <row r="2815" spans="1:13" ht="33.75" outlineLevel="3" x14ac:dyDescent="0.2">
      <c r="B2815" s="4" t="str">
        <f t="shared" ref="B2815:B2821" si="86">"0006660100"</f>
        <v>0006660100</v>
      </c>
      <c r="C2815" s="5" t="str">
        <f>"130013"</f>
        <v>130013</v>
      </c>
      <c r="D2815" s="12" t="s">
        <v>764</v>
      </c>
      <c r="E2815" s="14" t="s">
        <v>118</v>
      </c>
      <c r="F2815" s="12" t="s">
        <v>3</v>
      </c>
      <c r="G2815" s="15">
        <v>100</v>
      </c>
      <c r="H2815" s="12" t="s">
        <v>759</v>
      </c>
      <c r="I2815" s="12" t="s">
        <v>22</v>
      </c>
      <c r="K2815" s="16">
        <v>58.96</v>
      </c>
      <c r="L2815" s="16">
        <v>87.16</v>
      </c>
      <c r="M2815" s="16">
        <v>13.13</v>
      </c>
    </row>
    <row r="2816" spans="1:13" ht="33.75" outlineLevel="3" x14ac:dyDescent="0.2">
      <c r="B2816" s="4" t="str">
        <f t="shared" si="86"/>
        <v>0006660100</v>
      </c>
      <c r="C2816" s="5" t="str">
        <f>"159158"</f>
        <v>159158</v>
      </c>
      <c r="D2816" s="12" t="s">
        <v>758</v>
      </c>
      <c r="E2816" s="14" t="s">
        <v>118</v>
      </c>
      <c r="F2816" s="12" t="s">
        <v>3</v>
      </c>
      <c r="G2816" s="15">
        <v>100</v>
      </c>
      <c r="H2816" s="12" t="s">
        <v>759</v>
      </c>
      <c r="I2816" s="12" t="s">
        <v>79</v>
      </c>
      <c r="J2816" s="2" t="s">
        <v>1400</v>
      </c>
      <c r="K2816" s="16">
        <v>8.23</v>
      </c>
      <c r="L2816" s="16">
        <v>13.12</v>
      </c>
      <c r="M2816" s="16">
        <v>13.13</v>
      </c>
    </row>
    <row r="2817" spans="2:13" ht="33.75" outlineLevel="3" x14ac:dyDescent="0.2">
      <c r="B2817" s="4" t="str">
        <f t="shared" si="86"/>
        <v>0006660100</v>
      </c>
      <c r="C2817" s="5" t="str">
        <f>"075514"</f>
        <v>075514</v>
      </c>
      <c r="D2817" s="12" t="s">
        <v>760</v>
      </c>
      <c r="E2817" s="14" t="s">
        <v>118</v>
      </c>
      <c r="F2817" s="12" t="s">
        <v>3</v>
      </c>
      <c r="G2817" s="15">
        <v>100</v>
      </c>
      <c r="H2817" s="12" t="s">
        <v>759</v>
      </c>
      <c r="I2817" s="12" t="s">
        <v>104</v>
      </c>
      <c r="K2817" s="16">
        <v>8.23</v>
      </c>
      <c r="L2817" s="16">
        <v>13.12</v>
      </c>
      <c r="M2817" s="16">
        <v>13.13</v>
      </c>
    </row>
    <row r="2818" spans="2:13" ht="33.75" outlineLevel="3" x14ac:dyDescent="0.2">
      <c r="B2818" s="4" t="str">
        <f t="shared" si="86"/>
        <v>0006660100</v>
      </c>
      <c r="C2818" s="5" t="str">
        <f>"125457"</f>
        <v>125457</v>
      </c>
      <c r="D2818" s="12" t="s">
        <v>762</v>
      </c>
      <c r="E2818" s="14" t="s">
        <v>118</v>
      </c>
      <c r="F2818" s="12" t="s">
        <v>3</v>
      </c>
      <c r="G2818" s="15" t="s">
        <v>763</v>
      </c>
      <c r="H2818" s="12" t="s">
        <v>759</v>
      </c>
      <c r="I2818" s="12" t="s">
        <v>298</v>
      </c>
      <c r="K2818" s="16">
        <v>8.23</v>
      </c>
      <c r="L2818" s="16">
        <v>13.12</v>
      </c>
      <c r="M2818" s="16">
        <v>13.13</v>
      </c>
    </row>
    <row r="2819" spans="2:13" ht="33.75" outlineLevel="3" x14ac:dyDescent="0.2">
      <c r="B2819" s="4" t="str">
        <f t="shared" si="86"/>
        <v>0006660100</v>
      </c>
      <c r="C2819" s="5" t="str">
        <f>"486276"</f>
        <v>486276</v>
      </c>
      <c r="D2819" s="12" t="s">
        <v>760</v>
      </c>
      <c r="E2819" s="14" t="s">
        <v>118</v>
      </c>
      <c r="F2819" s="12" t="s">
        <v>3</v>
      </c>
      <c r="G2819" s="15">
        <v>100</v>
      </c>
      <c r="H2819" s="12" t="s">
        <v>759</v>
      </c>
      <c r="I2819" s="12" t="s">
        <v>104</v>
      </c>
      <c r="K2819" s="16">
        <v>8.23</v>
      </c>
      <c r="L2819" s="16">
        <v>13.12</v>
      </c>
      <c r="M2819" s="16">
        <v>13.13</v>
      </c>
    </row>
    <row r="2820" spans="2:13" ht="33.75" outlineLevel="3" x14ac:dyDescent="0.2">
      <c r="B2820" s="4" t="str">
        <f t="shared" si="86"/>
        <v>0006660100</v>
      </c>
      <c r="C2820" s="5" t="str">
        <f>"506851"</f>
        <v>506851</v>
      </c>
      <c r="D2820" s="12" t="s">
        <v>765</v>
      </c>
      <c r="E2820" s="14" t="s">
        <v>118</v>
      </c>
      <c r="F2820" s="12" t="s">
        <v>3</v>
      </c>
      <c r="G2820" s="15">
        <v>100</v>
      </c>
      <c r="H2820" s="12" t="s">
        <v>759</v>
      </c>
      <c r="I2820" s="12" t="s">
        <v>68</v>
      </c>
      <c r="K2820" s="16">
        <v>8.23</v>
      </c>
      <c r="L2820" s="16">
        <v>13.12</v>
      </c>
      <c r="M2820" s="16">
        <v>13.13</v>
      </c>
    </row>
    <row r="2821" spans="2:13" ht="33.75" outlineLevel="3" x14ac:dyDescent="0.2">
      <c r="B2821" s="4" t="str">
        <f t="shared" si="86"/>
        <v>0006660100</v>
      </c>
      <c r="C2821" s="5" t="str">
        <f>"099485"</f>
        <v>099485</v>
      </c>
      <c r="D2821" s="12" t="s">
        <v>761</v>
      </c>
      <c r="E2821" s="14" t="s">
        <v>118</v>
      </c>
      <c r="F2821" s="12" t="s">
        <v>3</v>
      </c>
      <c r="G2821" s="15">
        <v>100</v>
      </c>
      <c r="H2821" s="12" t="s">
        <v>759</v>
      </c>
      <c r="I2821" s="12" t="s">
        <v>11</v>
      </c>
      <c r="K2821" s="16">
        <v>7.29</v>
      </c>
      <c r="L2821" s="16">
        <v>11.63</v>
      </c>
      <c r="M2821" s="16">
        <v>13.13</v>
      </c>
    </row>
    <row r="2822" spans="2:13" outlineLevel="2" x14ac:dyDescent="0.2"/>
    <row r="2823" spans="2:13" ht="33.75" outlineLevel="3" x14ac:dyDescent="0.2">
      <c r="B2823" s="4" t="str">
        <f>"0006660250"</f>
        <v>0006660250</v>
      </c>
      <c r="C2823" s="5" t="str">
        <f>"490210"</f>
        <v>490210</v>
      </c>
      <c r="D2823" s="12" t="s">
        <v>762</v>
      </c>
      <c r="E2823" s="14" t="s">
        <v>118</v>
      </c>
      <c r="F2823" s="12" t="s">
        <v>3</v>
      </c>
      <c r="G2823" s="15">
        <v>250</v>
      </c>
      <c r="H2823" s="12" t="s">
        <v>759</v>
      </c>
      <c r="I2823" s="12" t="s">
        <v>298</v>
      </c>
      <c r="K2823" s="16">
        <v>19.48</v>
      </c>
      <c r="L2823" s="16">
        <v>29.94</v>
      </c>
      <c r="M2823" s="16">
        <v>31.44</v>
      </c>
    </row>
    <row r="2824" spans="2:13" outlineLevel="2" x14ac:dyDescent="0.2"/>
    <row r="2825" spans="2:13" ht="33.75" outlineLevel="3" x14ac:dyDescent="0.2">
      <c r="B2825" s="4" t="str">
        <f>"0006920030"</f>
        <v>0006920030</v>
      </c>
      <c r="C2825" s="5" t="str">
        <f>"075542"</f>
        <v>075542</v>
      </c>
      <c r="D2825" s="12" t="s">
        <v>760</v>
      </c>
      <c r="E2825" s="14" t="s">
        <v>142</v>
      </c>
      <c r="F2825" s="12" t="s">
        <v>3</v>
      </c>
      <c r="G2825" s="15">
        <v>30</v>
      </c>
      <c r="H2825" s="12" t="s">
        <v>759</v>
      </c>
      <c r="I2825" s="12" t="s">
        <v>104</v>
      </c>
      <c r="K2825" s="16">
        <v>4.18</v>
      </c>
      <c r="L2825" s="16">
        <v>6.67</v>
      </c>
      <c r="M2825" s="16">
        <v>4.93</v>
      </c>
    </row>
    <row r="2826" spans="2:13" ht="33.75" outlineLevel="3" x14ac:dyDescent="0.2">
      <c r="B2826" s="4" t="str">
        <f>"0006920030"</f>
        <v>0006920030</v>
      </c>
      <c r="C2826" s="5" t="str">
        <f>"081136"</f>
        <v>081136</v>
      </c>
      <c r="D2826" s="12" t="s">
        <v>758</v>
      </c>
      <c r="E2826" s="14" t="s">
        <v>142</v>
      </c>
      <c r="F2826" s="12" t="s">
        <v>3</v>
      </c>
      <c r="G2826" s="15">
        <v>30</v>
      </c>
      <c r="H2826" s="12" t="s">
        <v>759</v>
      </c>
      <c r="I2826" s="12" t="s">
        <v>79</v>
      </c>
      <c r="K2826" s="16">
        <v>2.15</v>
      </c>
      <c r="L2826" s="16">
        <v>3.43</v>
      </c>
      <c r="M2826" s="16">
        <v>4.93</v>
      </c>
    </row>
    <row r="2827" spans="2:13" outlineLevel="2" x14ac:dyDescent="0.2"/>
    <row r="2828" spans="2:13" ht="33.75" outlineLevel="3" x14ac:dyDescent="0.2">
      <c r="B2828" s="4" t="str">
        <f t="shared" ref="B2828:B2834" si="87">"0006920100"</f>
        <v>0006920100</v>
      </c>
      <c r="C2828" s="5" t="str">
        <f>"130021"</f>
        <v>130021</v>
      </c>
      <c r="D2828" s="12" t="s">
        <v>764</v>
      </c>
      <c r="E2828" s="14" t="s">
        <v>142</v>
      </c>
      <c r="F2828" s="12" t="s">
        <v>3</v>
      </c>
      <c r="G2828" s="15">
        <v>100</v>
      </c>
      <c r="H2828" s="12" t="s">
        <v>759</v>
      </c>
      <c r="I2828" s="12" t="s">
        <v>22</v>
      </c>
      <c r="K2828" s="16">
        <v>102.58</v>
      </c>
      <c r="L2828" s="16">
        <v>146.96</v>
      </c>
      <c r="M2828" s="16">
        <v>10.89</v>
      </c>
    </row>
    <row r="2829" spans="2:13" ht="33.75" outlineLevel="3" x14ac:dyDescent="0.2">
      <c r="B2829" s="4" t="str">
        <f t="shared" si="87"/>
        <v>0006920100</v>
      </c>
      <c r="C2829" s="5" t="str">
        <f>"075551"</f>
        <v>075551</v>
      </c>
      <c r="D2829" s="12" t="s">
        <v>760</v>
      </c>
      <c r="E2829" s="14" t="s">
        <v>142</v>
      </c>
      <c r="F2829" s="12" t="s">
        <v>3</v>
      </c>
      <c r="G2829" s="15">
        <v>100</v>
      </c>
      <c r="H2829" s="12" t="s">
        <v>759</v>
      </c>
      <c r="I2829" s="12" t="s">
        <v>104</v>
      </c>
      <c r="K2829" s="16">
        <v>5.98</v>
      </c>
      <c r="L2829" s="16">
        <v>9.5399999999999991</v>
      </c>
      <c r="M2829" s="16">
        <v>10.89</v>
      </c>
    </row>
    <row r="2830" spans="2:13" ht="33.75" outlineLevel="3" x14ac:dyDescent="0.2">
      <c r="B2830" s="4" t="str">
        <f t="shared" si="87"/>
        <v>0006920100</v>
      </c>
      <c r="C2830" s="5" t="str">
        <f>"176549"</f>
        <v>176549</v>
      </c>
      <c r="D2830" s="12" t="s">
        <v>758</v>
      </c>
      <c r="E2830" s="14" t="s">
        <v>142</v>
      </c>
      <c r="F2830" s="12" t="s">
        <v>3</v>
      </c>
      <c r="G2830" s="15">
        <v>100</v>
      </c>
      <c r="H2830" s="12" t="s">
        <v>759</v>
      </c>
      <c r="I2830" s="12" t="s">
        <v>79</v>
      </c>
      <c r="K2830" s="16">
        <v>5.98</v>
      </c>
      <c r="L2830" s="16">
        <v>9.5399999999999991</v>
      </c>
      <c r="M2830" s="16">
        <v>10.89</v>
      </c>
    </row>
    <row r="2831" spans="2:13" ht="33.75" outlineLevel="3" x14ac:dyDescent="0.2">
      <c r="B2831" s="4" t="str">
        <f t="shared" si="87"/>
        <v>0006920100</v>
      </c>
      <c r="C2831" s="5" t="str">
        <f>"180996"</f>
        <v>180996</v>
      </c>
      <c r="D2831" s="12" t="s">
        <v>760</v>
      </c>
      <c r="E2831" s="14" t="s">
        <v>142</v>
      </c>
      <c r="F2831" s="12" t="s">
        <v>3</v>
      </c>
      <c r="G2831" s="15">
        <v>100</v>
      </c>
      <c r="H2831" s="12" t="s">
        <v>759</v>
      </c>
      <c r="I2831" s="12" t="s">
        <v>104</v>
      </c>
      <c r="K2831" s="16">
        <v>5.98</v>
      </c>
      <c r="L2831" s="16">
        <v>9.5399999999999991</v>
      </c>
      <c r="M2831" s="16">
        <v>10.89</v>
      </c>
    </row>
    <row r="2832" spans="2:13" ht="33.75" outlineLevel="3" x14ac:dyDescent="0.2">
      <c r="B2832" s="4" t="str">
        <f t="shared" si="87"/>
        <v>0006920100</v>
      </c>
      <c r="C2832" s="5" t="str">
        <f>"184233"</f>
        <v>184233</v>
      </c>
      <c r="D2832" s="12" t="s">
        <v>765</v>
      </c>
      <c r="E2832" s="14" t="s">
        <v>142</v>
      </c>
      <c r="F2832" s="12" t="s">
        <v>3</v>
      </c>
      <c r="G2832" s="15">
        <v>100</v>
      </c>
      <c r="H2832" s="12" t="s">
        <v>759</v>
      </c>
      <c r="I2832" s="12" t="s">
        <v>68</v>
      </c>
      <c r="K2832" s="16">
        <v>5.98</v>
      </c>
      <c r="L2832" s="16">
        <v>9.5399999999999991</v>
      </c>
      <c r="M2832" s="16">
        <v>10.89</v>
      </c>
    </row>
    <row r="2833" spans="2:13" ht="33.75" outlineLevel="3" x14ac:dyDescent="0.2">
      <c r="B2833" s="4" t="str">
        <f t="shared" si="87"/>
        <v>0006920100</v>
      </c>
      <c r="C2833" s="5" t="str">
        <f>"565400"</f>
        <v>565400</v>
      </c>
      <c r="D2833" s="12" t="s">
        <v>762</v>
      </c>
      <c r="E2833" s="14" t="s">
        <v>142</v>
      </c>
      <c r="F2833" s="12" t="s">
        <v>3</v>
      </c>
      <c r="G2833" s="15" t="s">
        <v>763</v>
      </c>
      <c r="H2833" s="12" t="s">
        <v>759</v>
      </c>
      <c r="I2833" s="12" t="s">
        <v>298</v>
      </c>
      <c r="K2833" s="16">
        <v>5.98</v>
      </c>
      <c r="L2833" s="16">
        <v>9.5399999999999991</v>
      </c>
      <c r="M2833" s="16">
        <v>10.89</v>
      </c>
    </row>
    <row r="2834" spans="2:13" ht="33.75" outlineLevel="3" x14ac:dyDescent="0.2">
      <c r="B2834" s="4" t="str">
        <f t="shared" si="87"/>
        <v>0006920100</v>
      </c>
      <c r="C2834" s="5" t="str">
        <f>"099494"</f>
        <v>099494</v>
      </c>
      <c r="D2834" s="12" t="s">
        <v>761</v>
      </c>
      <c r="E2834" s="14" t="s">
        <v>142</v>
      </c>
      <c r="F2834" s="12" t="s">
        <v>3</v>
      </c>
      <c r="G2834" s="15">
        <v>100</v>
      </c>
      <c r="H2834" s="12" t="s">
        <v>759</v>
      </c>
      <c r="I2834" s="12" t="s">
        <v>11</v>
      </c>
      <c r="K2834" s="16">
        <v>5.89</v>
      </c>
      <c r="L2834" s="16">
        <v>9.39</v>
      </c>
      <c r="M2834" s="16">
        <v>10.89</v>
      </c>
    </row>
    <row r="2835" spans="2:13" outlineLevel="2" x14ac:dyDescent="0.2"/>
    <row r="2836" spans="2:13" ht="33.75" outlineLevel="3" x14ac:dyDescent="0.2">
      <c r="B2836" s="4" t="str">
        <f>"0010880010"</f>
        <v>0010880010</v>
      </c>
      <c r="C2836" s="5" t="str">
        <f>"075524"</f>
        <v>075524</v>
      </c>
      <c r="D2836" s="12" t="s">
        <v>760</v>
      </c>
      <c r="E2836" s="14" t="s">
        <v>102</v>
      </c>
      <c r="F2836" s="12" t="s">
        <v>3</v>
      </c>
      <c r="G2836" s="15">
        <v>10</v>
      </c>
      <c r="H2836" s="12" t="s">
        <v>759</v>
      </c>
      <c r="I2836" s="12" t="s">
        <v>104</v>
      </c>
      <c r="K2836" s="16">
        <v>3.05</v>
      </c>
      <c r="L2836" s="16">
        <v>4.8600000000000003</v>
      </c>
      <c r="M2836" s="16">
        <v>6.36</v>
      </c>
    </row>
    <row r="2837" spans="2:13" ht="33.75" outlineLevel="3" x14ac:dyDescent="0.2">
      <c r="B2837" s="4" t="str">
        <f>"0010880010"</f>
        <v>0010880010</v>
      </c>
      <c r="C2837" s="5" t="str">
        <f>"047402"</f>
        <v>047402</v>
      </c>
      <c r="D2837" s="12" t="s">
        <v>758</v>
      </c>
      <c r="E2837" s="14" t="s">
        <v>102</v>
      </c>
      <c r="F2837" s="12" t="s">
        <v>3</v>
      </c>
      <c r="G2837" s="15">
        <v>10</v>
      </c>
      <c r="H2837" s="12" t="s">
        <v>759</v>
      </c>
      <c r="I2837" s="12" t="s">
        <v>79</v>
      </c>
      <c r="J2837" s="2" t="s">
        <v>1400</v>
      </c>
      <c r="K2837" s="16">
        <v>1.5</v>
      </c>
      <c r="L2837" s="16">
        <v>2.4</v>
      </c>
      <c r="M2837" s="16">
        <v>6.36</v>
      </c>
    </row>
    <row r="2838" spans="2:13" outlineLevel="2" x14ac:dyDescent="0.2"/>
    <row r="2839" spans="2:13" ht="33.75" outlineLevel="3" x14ac:dyDescent="0.2">
      <c r="B2839" s="4" t="str">
        <f t="shared" ref="B2839:B2845" si="88">"0010880100"</f>
        <v>0010880100</v>
      </c>
      <c r="C2839" s="5" t="str">
        <f>"435651"</f>
        <v>435651</v>
      </c>
      <c r="D2839" s="12" t="s">
        <v>764</v>
      </c>
      <c r="E2839" s="14" t="s">
        <v>102</v>
      </c>
      <c r="F2839" s="12" t="s">
        <v>3</v>
      </c>
      <c r="G2839" s="15">
        <v>100</v>
      </c>
      <c r="H2839" s="12" t="s">
        <v>759</v>
      </c>
      <c r="I2839" s="12" t="s">
        <v>22</v>
      </c>
      <c r="K2839" s="16">
        <v>27.44</v>
      </c>
      <c r="L2839" s="16">
        <v>41.76</v>
      </c>
      <c r="M2839" s="16">
        <v>6.51</v>
      </c>
    </row>
    <row r="2840" spans="2:13" ht="33.75" outlineLevel="3" x14ac:dyDescent="0.2">
      <c r="B2840" s="4" t="str">
        <f t="shared" si="88"/>
        <v>0010880100</v>
      </c>
      <c r="C2840" s="5" t="str">
        <f>"075533"</f>
        <v>075533</v>
      </c>
      <c r="D2840" s="12" t="s">
        <v>760</v>
      </c>
      <c r="E2840" s="14" t="s">
        <v>102</v>
      </c>
      <c r="F2840" s="12" t="s">
        <v>3</v>
      </c>
      <c r="G2840" s="15">
        <v>100</v>
      </c>
      <c r="H2840" s="12" t="s">
        <v>759</v>
      </c>
      <c r="I2840" s="12" t="s">
        <v>104</v>
      </c>
      <c r="K2840" s="16">
        <v>3.14</v>
      </c>
      <c r="L2840" s="16">
        <v>5.01</v>
      </c>
      <c r="M2840" s="16">
        <v>6.51</v>
      </c>
    </row>
    <row r="2841" spans="2:13" ht="33.75" outlineLevel="3" x14ac:dyDescent="0.2">
      <c r="B2841" s="4" t="str">
        <f t="shared" si="88"/>
        <v>0010880100</v>
      </c>
      <c r="C2841" s="5" t="str">
        <f>"099476"</f>
        <v>099476</v>
      </c>
      <c r="D2841" s="12" t="s">
        <v>761</v>
      </c>
      <c r="E2841" s="14" t="s">
        <v>102</v>
      </c>
      <c r="F2841" s="12" t="s">
        <v>3</v>
      </c>
      <c r="G2841" s="15">
        <v>100</v>
      </c>
      <c r="H2841" s="12" t="s">
        <v>759</v>
      </c>
      <c r="I2841" s="12" t="s">
        <v>11</v>
      </c>
      <c r="K2841" s="16">
        <v>3.14</v>
      </c>
      <c r="L2841" s="16">
        <v>5.01</v>
      </c>
      <c r="M2841" s="16">
        <v>6.51</v>
      </c>
    </row>
    <row r="2842" spans="2:13" ht="33.75" outlineLevel="3" x14ac:dyDescent="0.2">
      <c r="B2842" s="4" t="str">
        <f t="shared" si="88"/>
        <v>0010880100</v>
      </c>
      <c r="C2842" s="5" t="str">
        <f>"417138"</f>
        <v>417138</v>
      </c>
      <c r="D2842" s="12" t="s">
        <v>765</v>
      </c>
      <c r="E2842" s="14" t="s">
        <v>102</v>
      </c>
      <c r="F2842" s="12" t="s">
        <v>3</v>
      </c>
      <c r="G2842" s="15">
        <v>100</v>
      </c>
      <c r="H2842" s="12" t="s">
        <v>759</v>
      </c>
      <c r="I2842" s="12" t="s">
        <v>68</v>
      </c>
      <c r="K2842" s="16">
        <v>3.14</v>
      </c>
      <c r="L2842" s="16">
        <v>5.01</v>
      </c>
      <c r="M2842" s="16">
        <v>6.51</v>
      </c>
    </row>
    <row r="2843" spans="2:13" ht="33.75" outlineLevel="3" x14ac:dyDescent="0.2">
      <c r="B2843" s="4" t="str">
        <f t="shared" si="88"/>
        <v>0010880100</v>
      </c>
      <c r="C2843" s="5" t="str">
        <f>"448447"</f>
        <v>448447</v>
      </c>
      <c r="D2843" s="12" t="s">
        <v>760</v>
      </c>
      <c r="E2843" s="14" t="s">
        <v>102</v>
      </c>
      <c r="F2843" s="12" t="s">
        <v>3</v>
      </c>
      <c r="G2843" s="15">
        <v>100</v>
      </c>
      <c r="H2843" s="12" t="s">
        <v>759</v>
      </c>
      <c r="I2843" s="12" t="s">
        <v>104</v>
      </c>
      <c r="K2843" s="16">
        <v>3.14</v>
      </c>
      <c r="L2843" s="16">
        <v>5.01</v>
      </c>
      <c r="M2843" s="16">
        <v>6.51</v>
      </c>
    </row>
    <row r="2844" spans="2:13" ht="33.75" outlineLevel="3" x14ac:dyDescent="0.2">
      <c r="B2844" s="4" t="str">
        <f t="shared" si="88"/>
        <v>0010880100</v>
      </c>
      <c r="C2844" s="5" t="str">
        <f>"459812"</f>
        <v>459812</v>
      </c>
      <c r="D2844" s="12" t="s">
        <v>762</v>
      </c>
      <c r="E2844" s="14" t="s">
        <v>102</v>
      </c>
      <c r="F2844" s="12" t="s">
        <v>3</v>
      </c>
      <c r="G2844" s="15" t="s">
        <v>763</v>
      </c>
      <c r="H2844" s="12" t="s">
        <v>759</v>
      </c>
      <c r="I2844" s="12" t="s">
        <v>298</v>
      </c>
      <c r="K2844" s="16">
        <v>3.14</v>
      </c>
      <c r="L2844" s="16">
        <v>5.01</v>
      </c>
      <c r="M2844" s="16">
        <v>6.51</v>
      </c>
    </row>
    <row r="2845" spans="2:13" ht="33.75" outlineLevel="3" x14ac:dyDescent="0.2">
      <c r="B2845" s="4" t="str">
        <f t="shared" si="88"/>
        <v>0010880100</v>
      </c>
      <c r="C2845" s="5" t="str">
        <f>"151305"</f>
        <v>151305</v>
      </c>
      <c r="D2845" s="12" t="s">
        <v>758</v>
      </c>
      <c r="E2845" s="14" t="s">
        <v>102</v>
      </c>
      <c r="F2845" s="12" t="s">
        <v>3</v>
      </c>
      <c r="G2845" s="15">
        <v>100</v>
      </c>
      <c r="H2845" s="12" t="s">
        <v>759</v>
      </c>
      <c r="I2845" s="12" t="s">
        <v>79</v>
      </c>
      <c r="J2845" s="2" t="s">
        <v>1400</v>
      </c>
      <c r="K2845" s="16">
        <v>2.21</v>
      </c>
      <c r="L2845" s="16">
        <v>3.52</v>
      </c>
      <c r="M2845" s="16">
        <v>6.51</v>
      </c>
    </row>
    <row r="2846" spans="2:13" outlineLevel="2" x14ac:dyDescent="0.2"/>
    <row r="2847" spans="2:13" ht="33.75" outlineLevel="3" x14ac:dyDescent="0.2">
      <c r="B2847" s="4" t="str">
        <f>"0010880250"</f>
        <v>0010880250</v>
      </c>
      <c r="C2847" s="5" t="str">
        <f>"449134"</f>
        <v>449134</v>
      </c>
      <c r="D2847" s="12" t="s">
        <v>762</v>
      </c>
      <c r="E2847" s="14" t="s">
        <v>102</v>
      </c>
      <c r="F2847" s="12" t="s">
        <v>3</v>
      </c>
      <c r="G2847" s="15">
        <v>250</v>
      </c>
      <c r="H2847" s="12" t="s">
        <v>759</v>
      </c>
      <c r="I2847" s="12" t="s">
        <v>298</v>
      </c>
      <c r="K2847" s="16">
        <v>7.85</v>
      </c>
      <c r="L2847" s="16">
        <v>12.52</v>
      </c>
      <c r="M2847" s="16">
        <v>14.02</v>
      </c>
    </row>
    <row r="2848" spans="2:13" outlineLevel="2" x14ac:dyDescent="0.2"/>
    <row r="2849" spans="2:13" ht="33.75" outlineLevel="3" x14ac:dyDescent="0.2">
      <c r="B2849" s="4" t="str">
        <f t="shared" ref="B2849:B2855" si="89">"0010890100"</f>
        <v>0010890100</v>
      </c>
      <c r="C2849" s="5" t="str">
        <f>"598623"</f>
        <v>598623</v>
      </c>
      <c r="D2849" s="12" t="s">
        <v>760</v>
      </c>
      <c r="E2849" s="14" t="s">
        <v>12</v>
      </c>
      <c r="F2849" s="12" t="s">
        <v>3</v>
      </c>
      <c r="G2849" s="15">
        <v>100</v>
      </c>
      <c r="H2849" s="12" t="s">
        <v>759</v>
      </c>
      <c r="I2849" s="12" t="s">
        <v>104</v>
      </c>
      <c r="J2849" s="2" t="s">
        <v>1400</v>
      </c>
      <c r="K2849" s="16" t="s">
        <v>1401</v>
      </c>
      <c r="L2849" s="16" t="s">
        <v>1401</v>
      </c>
      <c r="M2849" s="16">
        <v>26.49</v>
      </c>
    </row>
    <row r="2850" spans="2:13" ht="33.75" outlineLevel="3" x14ac:dyDescent="0.2">
      <c r="B2850" s="4" t="str">
        <f t="shared" si="89"/>
        <v>0010890100</v>
      </c>
      <c r="C2850" s="5" t="str">
        <f>"005296"</f>
        <v>005296</v>
      </c>
      <c r="D2850" s="12" t="s">
        <v>764</v>
      </c>
      <c r="E2850" s="14" t="s">
        <v>12</v>
      </c>
      <c r="F2850" s="12" t="s">
        <v>3</v>
      </c>
      <c r="G2850" s="15">
        <v>100</v>
      </c>
      <c r="H2850" s="12" t="s">
        <v>759</v>
      </c>
      <c r="I2850" s="12" t="s">
        <v>22</v>
      </c>
      <c r="K2850" s="16">
        <v>137.69999999999999</v>
      </c>
      <c r="L2850" s="16">
        <v>191.39</v>
      </c>
      <c r="M2850" s="16">
        <v>26.49</v>
      </c>
    </row>
    <row r="2851" spans="2:13" ht="33.75" outlineLevel="3" x14ac:dyDescent="0.2">
      <c r="B2851" s="4" t="str">
        <f t="shared" si="89"/>
        <v>0010890100</v>
      </c>
      <c r="C2851" s="5" t="str">
        <f>"197827"</f>
        <v>197827</v>
      </c>
      <c r="D2851" s="12" t="s">
        <v>758</v>
      </c>
      <c r="E2851" s="14" t="s">
        <v>12</v>
      </c>
      <c r="F2851" s="12" t="s">
        <v>3</v>
      </c>
      <c r="G2851" s="15">
        <v>100</v>
      </c>
      <c r="H2851" s="12" t="s">
        <v>759</v>
      </c>
      <c r="I2851" s="12" t="s">
        <v>79</v>
      </c>
      <c r="J2851" s="2" t="s">
        <v>1400</v>
      </c>
      <c r="K2851" s="16">
        <v>16.239999999999998</v>
      </c>
      <c r="L2851" s="16">
        <v>25.12</v>
      </c>
      <c r="M2851" s="16">
        <v>26.49</v>
      </c>
    </row>
    <row r="2852" spans="2:13" ht="33.75" outlineLevel="3" x14ac:dyDescent="0.2">
      <c r="B2852" s="4" t="str">
        <f t="shared" si="89"/>
        <v>0010890100</v>
      </c>
      <c r="C2852" s="5" t="str">
        <f>"041738"</f>
        <v>041738</v>
      </c>
      <c r="D2852" s="12" t="s">
        <v>760</v>
      </c>
      <c r="E2852" s="14" t="s">
        <v>12</v>
      </c>
      <c r="F2852" s="12" t="s">
        <v>3</v>
      </c>
      <c r="G2852" s="15">
        <v>100</v>
      </c>
      <c r="H2852" s="12" t="s">
        <v>759</v>
      </c>
      <c r="I2852" s="12" t="s">
        <v>104</v>
      </c>
      <c r="K2852" s="16">
        <v>16.239999999999998</v>
      </c>
      <c r="L2852" s="16">
        <v>25.12</v>
      </c>
      <c r="M2852" s="16">
        <v>26.49</v>
      </c>
    </row>
    <row r="2853" spans="2:13" ht="33.75" outlineLevel="3" x14ac:dyDescent="0.2">
      <c r="B2853" s="4" t="str">
        <f t="shared" si="89"/>
        <v>0010890100</v>
      </c>
      <c r="C2853" s="5" t="str">
        <f>"183671"</f>
        <v>183671</v>
      </c>
      <c r="D2853" s="12" t="s">
        <v>765</v>
      </c>
      <c r="E2853" s="14" t="s">
        <v>12</v>
      </c>
      <c r="F2853" s="12" t="s">
        <v>3</v>
      </c>
      <c r="G2853" s="15">
        <v>100</v>
      </c>
      <c r="H2853" s="12" t="s">
        <v>759</v>
      </c>
      <c r="I2853" s="12" t="s">
        <v>68</v>
      </c>
      <c r="K2853" s="16">
        <v>16.239999999999998</v>
      </c>
      <c r="L2853" s="16">
        <v>25.12</v>
      </c>
      <c r="M2853" s="16">
        <v>26.49</v>
      </c>
    </row>
    <row r="2854" spans="2:13" ht="33.75" outlineLevel="3" x14ac:dyDescent="0.2">
      <c r="B2854" s="4" t="str">
        <f t="shared" si="89"/>
        <v>0010890100</v>
      </c>
      <c r="C2854" s="5" t="str">
        <f>"545488"</f>
        <v>545488</v>
      </c>
      <c r="D2854" s="12" t="s">
        <v>762</v>
      </c>
      <c r="E2854" s="14" t="s">
        <v>12</v>
      </c>
      <c r="F2854" s="12" t="s">
        <v>3</v>
      </c>
      <c r="G2854" s="15" t="s">
        <v>763</v>
      </c>
      <c r="H2854" s="12" t="s">
        <v>759</v>
      </c>
      <c r="I2854" s="12" t="s">
        <v>298</v>
      </c>
      <c r="K2854" s="16">
        <v>16.239999999999998</v>
      </c>
      <c r="L2854" s="16">
        <v>25.12</v>
      </c>
      <c r="M2854" s="16">
        <v>26.49</v>
      </c>
    </row>
    <row r="2855" spans="2:13" ht="33.75" outlineLevel="3" x14ac:dyDescent="0.2">
      <c r="B2855" s="4" t="str">
        <f t="shared" si="89"/>
        <v>0010890100</v>
      </c>
      <c r="C2855" s="5" t="str">
        <f>"099503"</f>
        <v>099503</v>
      </c>
      <c r="D2855" s="12" t="s">
        <v>761</v>
      </c>
      <c r="E2855" s="14" t="s">
        <v>12</v>
      </c>
      <c r="F2855" s="12" t="s">
        <v>3</v>
      </c>
      <c r="G2855" s="15">
        <v>100</v>
      </c>
      <c r="H2855" s="12" t="s">
        <v>759</v>
      </c>
      <c r="I2855" s="12" t="s">
        <v>11</v>
      </c>
      <c r="K2855" s="16">
        <v>16.149999999999999</v>
      </c>
      <c r="L2855" s="16">
        <v>24.99</v>
      </c>
      <c r="M2855" s="16">
        <v>26.49</v>
      </c>
    </row>
    <row r="2856" spans="2:13" outlineLevel="2" x14ac:dyDescent="0.2"/>
    <row r="2857" spans="2:13" outlineLevel="3" x14ac:dyDescent="0.2">
      <c r="B2857" s="4" t="str">
        <f>"0012990060"</f>
        <v>0012990060</v>
      </c>
      <c r="C2857" s="5" t="str">
        <f>"119374"</f>
        <v>119374</v>
      </c>
      <c r="D2857" s="12" t="s">
        <v>1227</v>
      </c>
      <c r="E2857" s="14" t="s">
        <v>142</v>
      </c>
      <c r="F2857" s="12" t="s">
        <v>441</v>
      </c>
      <c r="G2857" s="15">
        <v>60</v>
      </c>
      <c r="H2857" s="12" t="s">
        <v>759</v>
      </c>
      <c r="I2857" s="12" t="s">
        <v>22</v>
      </c>
      <c r="K2857" s="16">
        <v>47.38</v>
      </c>
      <c r="L2857" s="16">
        <v>71.25</v>
      </c>
      <c r="M2857" s="16">
        <v>34.81</v>
      </c>
    </row>
    <row r="2858" spans="2:13" ht="22.5" outlineLevel="3" x14ac:dyDescent="0.2">
      <c r="B2858" s="4" t="str">
        <f>"0012990060"</f>
        <v>0012990060</v>
      </c>
      <c r="C2858" s="5" t="str">
        <f>"167143"</f>
        <v>167143</v>
      </c>
      <c r="D2858" s="12" t="s">
        <v>760</v>
      </c>
      <c r="E2858" s="14" t="s">
        <v>142</v>
      </c>
      <c r="F2858" s="12" t="s">
        <v>441</v>
      </c>
      <c r="G2858" s="15">
        <v>60</v>
      </c>
      <c r="H2858" s="12" t="s">
        <v>759</v>
      </c>
      <c r="I2858" s="12" t="s">
        <v>104</v>
      </c>
      <c r="K2858" s="16">
        <v>25.81</v>
      </c>
      <c r="L2858" s="16">
        <v>39.340000000000003</v>
      </c>
      <c r="M2858" s="16">
        <v>34.81</v>
      </c>
    </row>
    <row r="2859" spans="2:13" outlineLevel="3" x14ac:dyDescent="0.2">
      <c r="B2859" s="4" t="str">
        <f>"0012990060"</f>
        <v>0012990060</v>
      </c>
      <c r="C2859" s="5" t="str">
        <f>"374680"</f>
        <v>374680</v>
      </c>
      <c r="D2859" s="12" t="s">
        <v>1228</v>
      </c>
      <c r="E2859" s="14" t="s">
        <v>142</v>
      </c>
      <c r="F2859" s="12" t="s">
        <v>441</v>
      </c>
      <c r="G2859" s="15">
        <v>60</v>
      </c>
      <c r="H2859" s="12" t="s">
        <v>759</v>
      </c>
      <c r="I2859" s="12" t="s">
        <v>700</v>
      </c>
      <c r="K2859" s="16">
        <v>25.81</v>
      </c>
      <c r="L2859" s="16">
        <v>39.340000000000003</v>
      </c>
      <c r="M2859" s="16">
        <v>34.81</v>
      </c>
    </row>
    <row r="2860" spans="2:13" outlineLevel="3" x14ac:dyDescent="0.2">
      <c r="B2860" s="4" t="str">
        <f>"0012990060"</f>
        <v>0012990060</v>
      </c>
      <c r="C2860" s="5" t="str">
        <f>"559373"</f>
        <v>559373</v>
      </c>
      <c r="D2860" s="12" t="s">
        <v>1229</v>
      </c>
      <c r="E2860" s="14" t="s">
        <v>142</v>
      </c>
      <c r="F2860" s="12" t="s">
        <v>441</v>
      </c>
      <c r="G2860" s="15">
        <v>60</v>
      </c>
      <c r="H2860" s="12" t="s">
        <v>759</v>
      </c>
      <c r="I2860" s="12" t="s">
        <v>70</v>
      </c>
      <c r="K2860" s="16">
        <v>25.81</v>
      </c>
      <c r="L2860" s="16">
        <v>39.340000000000003</v>
      </c>
      <c r="M2860" s="16">
        <v>34.81</v>
      </c>
    </row>
    <row r="2861" spans="2:13" ht="22.5" outlineLevel="3" x14ac:dyDescent="0.2">
      <c r="B2861" s="4" t="str">
        <f>"0012990060"</f>
        <v>0012990060</v>
      </c>
      <c r="C2861" s="5" t="str">
        <f>"401975"</f>
        <v>401975</v>
      </c>
      <c r="D2861" s="12" t="s">
        <v>758</v>
      </c>
      <c r="E2861" s="14" t="s">
        <v>142</v>
      </c>
      <c r="F2861" s="12" t="s">
        <v>441</v>
      </c>
      <c r="G2861" s="15">
        <v>60</v>
      </c>
      <c r="H2861" s="12" t="s">
        <v>759</v>
      </c>
      <c r="I2861" s="12" t="s">
        <v>79</v>
      </c>
      <c r="K2861" s="16">
        <v>21.75</v>
      </c>
      <c r="L2861" s="16">
        <v>33.31</v>
      </c>
      <c r="M2861" s="16">
        <v>34.81</v>
      </c>
    </row>
    <row r="2862" spans="2:13" outlineLevel="2" x14ac:dyDescent="0.2"/>
    <row r="2863" spans="2:13" ht="22.5" outlineLevel="3" x14ac:dyDescent="0.2">
      <c r="B2863" s="4" t="str">
        <f t="shared" ref="B2863:B2868" si="90">"0012990100"</f>
        <v>0012990100</v>
      </c>
      <c r="C2863" s="5" t="str">
        <f>"474169"</f>
        <v>474169</v>
      </c>
      <c r="D2863" s="12" t="s">
        <v>760</v>
      </c>
      <c r="E2863" s="14" t="s">
        <v>142</v>
      </c>
      <c r="F2863" s="12" t="s">
        <v>441</v>
      </c>
      <c r="G2863" s="15">
        <v>100</v>
      </c>
      <c r="H2863" s="12" t="s">
        <v>759</v>
      </c>
      <c r="I2863" s="12" t="s">
        <v>104</v>
      </c>
      <c r="J2863" s="2" t="s">
        <v>1400</v>
      </c>
      <c r="K2863" s="16" t="s">
        <v>1401</v>
      </c>
      <c r="L2863" s="16" t="s">
        <v>1401</v>
      </c>
      <c r="M2863" s="16">
        <v>74.709999999999994</v>
      </c>
    </row>
    <row r="2864" spans="2:13" outlineLevel="3" x14ac:dyDescent="0.2">
      <c r="B2864" s="4" t="str">
        <f t="shared" si="90"/>
        <v>0012990100</v>
      </c>
      <c r="C2864" s="5" t="str">
        <f>"119385"</f>
        <v>119385</v>
      </c>
      <c r="D2864" s="12" t="s">
        <v>1227</v>
      </c>
      <c r="E2864" s="14" t="s">
        <v>142</v>
      </c>
      <c r="F2864" s="12" t="s">
        <v>441</v>
      </c>
      <c r="G2864" s="15">
        <v>100</v>
      </c>
      <c r="H2864" s="12" t="s">
        <v>759</v>
      </c>
      <c r="I2864" s="12" t="s">
        <v>22</v>
      </c>
      <c r="K2864" s="16">
        <v>77.44</v>
      </c>
      <c r="L2864" s="16">
        <v>112.57</v>
      </c>
      <c r="M2864" s="16">
        <v>74.709999999999994</v>
      </c>
    </row>
    <row r="2865" spans="2:13" ht="22.5" outlineLevel="3" x14ac:dyDescent="0.2">
      <c r="B2865" s="4" t="str">
        <f t="shared" si="90"/>
        <v>0012990100</v>
      </c>
      <c r="C2865" s="5" t="str">
        <f>"386574"</f>
        <v>386574</v>
      </c>
      <c r="D2865" s="12" t="s">
        <v>760</v>
      </c>
      <c r="E2865" s="14" t="s">
        <v>142</v>
      </c>
      <c r="F2865" s="12" t="s">
        <v>441</v>
      </c>
      <c r="G2865" s="15">
        <v>100</v>
      </c>
      <c r="H2865" s="12" t="s">
        <v>759</v>
      </c>
      <c r="I2865" s="12" t="s">
        <v>104</v>
      </c>
      <c r="K2865" s="16">
        <v>52.48</v>
      </c>
      <c r="L2865" s="16">
        <v>78.25</v>
      </c>
      <c r="M2865" s="16">
        <v>74.709999999999994</v>
      </c>
    </row>
    <row r="2866" spans="2:13" outlineLevel="3" x14ac:dyDescent="0.2">
      <c r="B2866" s="4" t="str">
        <f t="shared" si="90"/>
        <v>0012990100</v>
      </c>
      <c r="C2866" s="5" t="str">
        <f>"517693"</f>
        <v>517693</v>
      </c>
      <c r="D2866" s="12" t="s">
        <v>1228</v>
      </c>
      <c r="E2866" s="14" t="s">
        <v>142</v>
      </c>
      <c r="F2866" s="12" t="s">
        <v>441</v>
      </c>
      <c r="G2866" s="15">
        <v>100</v>
      </c>
      <c r="H2866" s="12" t="s">
        <v>759</v>
      </c>
      <c r="I2866" s="12" t="s">
        <v>700</v>
      </c>
      <c r="K2866" s="16">
        <v>52.48</v>
      </c>
      <c r="L2866" s="16">
        <v>78.25</v>
      </c>
      <c r="M2866" s="16">
        <v>74.709999999999994</v>
      </c>
    </row>
    <row r="2867" spans="2:13" outlineLevel="3" x14ac:dyDescent="0.2">
      <c r="B2867" s="4" t="str">
        <f t="shared" si="90"/>
        <v>0012990100</v>
      </c>
      <c r="C2867" s="5" t="str">
        <f>"413177"</f>
        <v>413177</v>
      </c>
      <c r="D2867" s="12" t="s">
        <v>1229</v>
      </c>
      <c r="E2867" s="14" t="s">
        <v>142</v>
      </c>
      <c r="F2867" s="12" t="s">
        <v>441</v>
      </c>
      <c r="G2867" s="15">
        <v>100</v>
      </c>
      <c r="H2867" s="12" t="s">
        <v>759</v>
      </c>
      <c r="I2867" s="12" t="s">
        <v>70</v>
      </c>
      <c r="K2867" s="16">
        <v>52.47</v>
      </c>
      <c r="L2867" s="16">
        <v>78.239999999999995</v>
      </c>
      <c r="M2867" s="16">
        <v>74.709999999999994</v>
      </c>
    </row>
    <row r="2868" spans="2:13" ht="22.5" outlineLevel="3" x14ac:dyDescent="0.2">
      <c r="B2868" s="4" t="str">
        <f t="shared" si="90"/>
        <v>0012990100</v>
      </c>
      <c r="C2868" s="5" t="str">
        <f>"052564"</f>
        <v>052564</v>
      </c>
      <c r="D2868" s="12" t="s">
        <v>758</v>
      </c>
      <c r="E2868" s="14" t="s">
        <v>142</v>
      </c>
      <c r="F2868" s="12" t="s">
        <v>441</v>
      </c>
      <c r="G2868" s="15">
        <v>100</v>
      </c>
      <c r="H2868" s="12" t="s">
        <v>759</v>
      </c>
      <c r="I2868" s="12" t="s">
        <v>79</v>
      </c>
      <c r="K2868" s="16">
        <v>48.45</v>
      </c>
      <c r="L2868" s="16">
        <v>72.709999999999994</v>
      </c>
      <c r="M2868" s="16">
        <v>74.709999999999994</v>
      </c>
    </row>
    <row r="2869" spans="2:13" outlineLevel="2" x14ac:dyDescent="0.2"/>
    <row r="2870" spans="2:13" outlineLevel="3" x14ac:dyDescent="0.2">
      <c r="B2870" s="4" t="str">
        <f>"0013010060"</f>
        <v>0013010060</v>
      </c>
      <c r="C2870" s="5" t="str">
        <f>"119430"</f>
        <v>119430</v>
      </c>
      <c r="D2870" s="12" t="s">
        <v>1227</v>
      </c>
      <c r="E2870" s="14" t="s">
        <v>337</v>
      </c>
      <c r="F2870" s="12" t="s">
        <v>441</v>
      </c>
      <c r="G2870" s="15">
        <v>60</v>
      </c>
      <c r="H2870" s="12" t="s">
        <v>759</v>
      </c>
      <c r="I2870" s="12" t="s">
        <v>22</v>
      </c>
      <c r="K2870" s="16">
        <v>80.39</v>
      </c>
      <c r="L2870" s="16">
        <v>116.63</v>
      </c>
      <c r="M2870" s="16">
        <v>74.3</v>
      </c>
    </row>
    <row r="2871" spans="2:13" outlineLevel="3" x14ac:dyDescent="0.2">
      <c r="B2871" s="4" t="str">
        <f>"0013010060"</f>
        <v>0013010060</v>
      </c>
      <c r="C2871" s="5" t="str">
        <f>"076734"</f>
        <v>076734</v>
      </c>
      <c r="D2871" s="12" t="s">
        <v>1228</v>
      </c>
      <c r="E2871" s="14" t="s">
        <v>337</v>
      </c>
      <c r="F2871" s="12" t="s">
        <v>441</v>
      </c>
      <c r="G2871" s="15">
        <v>60</v>
      </c>
      <c r="H2871" s="12" t="s">
        <v>759</v>
      </c>
      <c r="I2871" s="12" t="s">
        <v>700</v>
      </c>
      <c r="K2871" s="16">
        <v>52.48</v>
      </c>
      <c r="L2871" s="16">
        <v>78.25</v>
      </c>
      <c r="M2871" s="16">
        <v>74.3</v>
      </c>
    </row>
    <row r="2872" spans="2:13" ht="22.5" outlineLevel="3" x14ac:dyDescent="0.2">
      <c r="B2872" s="4" t="str">
        <f>"0013010060"</f>
        <v>0013010060</v>
      </c>
      <c r="C2872" s="5" t="str">
        <f>"547171"</f>
        <v>547171</v>
      </c>
      <c r="D2872" s="12" t="s">
        <v>760</v>
      </c>
      <c r="E2872" s="14" t="s">
        <v>337</v>
      </c>
      <c r="F2872" s="12" t="s">
        <v>441</v>
      </c>
      <c r="G2872" s="15">
        <v>60</v>
      </c>
      <c r="H2872" s="12" t="s">
        <v>759</v>
      </c>
      <c r="I2872" s="12" t="s">
        <v>104</v>
      </c>
      <c r="K2872" s="16">
        <v>52.48</v>
      </c>
      <c r="L2872" s="16">
        <v>78.25</v>
      </c>
      <c r="M2872" s="16">
        <v>74.3</v>
      </c>
    </row>
    <row r="2873" spans="2:13" outlineLevel="3" x14ac:dyDescent="0.2">
      <c r="B2873" s="4" t="str">
        <f>"0013010060"</f>
        <v>0013010060</v>
      </c>
      <c r="C2873" s="5" t="str">
        <f>"493147"</f>
        <v>493147</v>
      </c>
      <c r="D2873" s="12" t="s">
        <v>1229</v>
      </c>
      <c r="E2873" s="14" t="s">
        <v>337</v>
      </c>
      <c r="F2873" s="12" t="s">
        <v>441</v>
      </c>
      <c r="G2873" s="15">
        <v>60</v>
      </c>
      <c r="H2873" s="12" t="s">
        <v>759</v>
      </c>
      <c r="I2873" s="12" t="s">
        <v>70</v>
      </c>
      <c r="K2873" s="16">
        <v>52.47</v>
      </c>
      <c r="L2873" s="16">
        <v>78.239999999999995</v>
      </c>
      <c r="M2873" s="16">
        <v>74.3</v>
      </c>
    </row>
    <row r="2874" spans="2:13" ht="22.5" outlineLevel="3" x14ac:dyDescent="0.2">
      <c r="B2874" s="4" t="str">
        <f>"0013010060"</f>
        <v>0013010060</v>
      </c>
      <c r="C2874" s="5" t="str">
        <f>"071045"</f>
        <v>071045</v>
      </c>
      <c r="D2874" s="12" t="s">
        <v>758</v>
      </c>
      <c r="E2874" s="14" t="s">
        <v>337</v>
      </c>
      <c r="F2874" s="12" t="s">
        <v>441</v>
      </c>
      <c r="G2874" s="15">
        <v>60</v>
      </c>
      <c r="H2874" s="12" t="s">
        <v>759</v>
      </c>
      <c r="I2874" s="12" t="s">
        <v>79</v>
      </c>
      <c r="K2874" s="16">
        <v>48.15</v>
      </c>
      <c r="L2874" s="16">
        <v>72.3</v>
      </c>
      <c r="M2874" s="16">
        <v>74.3</v>
      </c>
    </row>
    <row r="2875" spans="2:13" outlineLevel="2" x14ac:dyDescent="0.2"/>
    <row r="2876" spans="2:13" ht="22.5" outlineLevel="3" x14ac:dyDescent="0.2">
      <c r="B2876" s="4" t="str">
        <f>"0013010100"</f>
        <v>0013010100</v>
      </c>
      <c r="C2876" s="5" t="str">
        <f>"075548"</f>
        <v>075548</v>
      </c>
      <c r="D2876" s="12" t="s">
        <v>760</v>
      </c>
      <c r="E2876" s="14" t="s">
        <v>337</v>
      </c>
      <c r="F2876" s="12" t="s">
        <v>441</v>
      </c>
      <c r="G2876" s="15">
        <v>100</v>
      </c>
      <c r="H2876" s="12" t="s">
        <v>759</v>
      </c>
      <c r="I2876" s="12" t="s">
        <v>104</v>
      </c>
      <c r="J2876" s="2" t="s">
        <v>1400</v>
      </c>
      <c r="K2876" s="16" t="s">
        <v>1401</v>
      </c>
      <c r="L2876" s="16" t="s">
        <v>1401</v>
      </c>
      <c r="M2876" s="16">
        <v>149.81</v>
      </c>
    </row>
    <row r="2877" spans="2:13" outlineLevel="3" x14ac:dyDescent="0.2">
      <c r="B2877" s="4" t="str">
        <f>"0013010100"</f>
        <v>0013010100</v>
      </c>
      <c r="C2877" s="5" t="str">
        <f>"137635"</f>
        <v>137635</v>
      </c>
      <c r="D2877" s="12" t="s">
        <v>1228</v>
      </c>
      <c r="E2877" s="14" t="s">
        <v>337</v>
      </c>
      <c r="F2877" s="12" t="s">
        <v>441</v>
      </c>
      <c r="G2877" s="15">
        <v>100</v>
      </c>
      <c r="H2877" s="12" t="s">
        <v>759</v>
      </c>
      <c r="I2877" s="12" t="s">
        <v>700</v>
      </c>
      <c r="K2877" s="16">
        <v>107.49</v>
      </c>
      <c r="L2877" s="16">
        <v>153.16</v>
      </c>
      <c r="M2877" s="16">
        <v>149.81</v>
      </c>
    </row>
    <row r="2878" spans="2:13" ht="22.5" outlineLevel="3" x14ac:dyDescent="0.2">
      <c r="B2878" s="4" t="str">
        <f>"0013010100"</f>
        <v>0013010100</v>
      </c>
      <c r="C2878" s="5" t="str">
        <f>"586049"</f>
        <v>586049</v>
      </c>
      <c r="D2878" s="12" t="s">
        <v>760</v>
      </c>
      <c r="E2878" s="14" t="s">
        <v>337</v>
      </c>
      <c r="F2878" s="12" t="s">
        <v>441</v>
      </c>
      <c r="G2878" s="15">
        <v>100</v>
      </c>
      <c r="H2878" s="12" t="s">
        <v>759</v>
      </c>
      <c r="I2878" s="12" t="s">
        <v>104</v>
      </c>
      <c r="K2878" s="16">
        <v>107.49</v>
      </c>
      <c r="L2878" s="16">
        <v>153.16</v>
      </c>
      <c r="M2878" s="16">
        <v>149.81</v>
      </c>
    </row>
    <row r="2879" spans="2:13" outlineLevel="3" x14ac:dyDescent="0.2">
      <c r="B2879" s="4" t="str">
        <f>"0013010100"</f>
        <v>0013010100</v>
      </c>
      <c r="C2879" s="5" t="str">
        <f>"398698"</f>
        <v>398698</v>
      </c>
      <c r="D2879" s="12" t="s">
        <v>1229</v>
      </c>
      <c r="E2879" s="14" t="s">
        <v>337</v>
      </c>
      <c r="F2879" s="12" t="s">
        <v>441</v>
      </c>
      <c r="G2879" s="15">
        <v>100</v>
      </c>
      <c r="H2879" s="12" t="s">
        <v>759</v>
      </c>
      <c r="I2879" s="12" t="s">
        <v>70</v>
      </c>
      <c r="K2879" s="16">
        <v>107.48</v>
      </c>
      <c r="L2879" s="16">
        <v>153.15</v>
      </c>
      <c r="M2879" s="16">
        <v>149.81</v>
      </c>
    </row>
    <row r="2880" spans="2:13" ht="22.5" outlineLevel="3" x14ac:dyDescent="0.2">
      <c r="B2880" s="4" t="str">
        <f>"0013010100"</f>
        <v>0013010100</v>
      </c>
      <c r="C2880" s="5" t="str">
        <f>"561907"</f>
        <v>561907</v>
      </c>
      <c r="D2880" s="12" t="s">
        <v>758</v>
      </c>
      <c r="E2880" s="14" t="s">
        <v>337</v>
      </c>
      <c r="F2880" s="12" t="s">
        <v>441</v>
      </c>
      <c r="G2880" s="15">
        <v>100</v>
      </c>
      <c r="H2880" s="12" t="s">
        <v>759</v>
      </c>
      <c r="I2880" s="12" t="s">
        <v>79</v>
      </c>
      <c r="K2880" s="16">
        <v>103.25</v>
      </c>
      <c r="L2880" s="16">
        <v>147.81</v>
      </c>
      <c r="M2880" s="16">
        <v>149.81</v>
      </c>
    </row>
    <row r="2881" spans="2:13" outlineLevel="2" x14ac:dyDescent="0.2"/>
    <row r="2882" spans="2:13" ht="22.5" outlineLevel="3" x14ac:dyDescent="0.2">
      <c r="B2882" s="4" t="str">
        <f>"0013190010"</f>
        <v>0013190010</v>
      </c>
      <c r="C2882" s="5" t="str">
        <f>"149972"</f>
        <v>149972</v>
      </c>
      <c r="D2882" s="12" t="s">
        <v>758</v>
      </c>
      <c r="E2882" s="14" t="s">
        <v>12</v>
      </c>
      <c r="F2882" s="12" t="s">
        <v>441</v>
      </c>
      <c r="G2882" s="15">
        <v>10</v>
      </c>
      <c r="H2882" s="12" t="s">
        <v>759</v>
      </c>
      <c r="I2882" s="12" t="s">
        <v>79</v>
      </c>
      <c r="J2882" s="2" t="s">
        <v>1400</v>
      </c>
      <c r="K2882" s="16">
        <v>11.35</v>
      </c>
      <c r="L2882" s="16">
        <v>17.86</v>
      </c>
      <c r="M2882" s="16">
        <v>19.36</v>
      </c>
    </row>
    <row r="2883" spans="2:13" outlineLevel="3" x14ac:dyDescent="0.2">
      <c r="B2883" s="4" t="str">
        <f>"0013190010"</f>
        <v>0013190010</v>
      </c>
      <c r="C2883" s="5" t="str">
        <f>"081581"</f>
        <v>081581</v>
      </c>
      <c r="D2883" s="12" t="s">
        <v>1229</v>
      </c>
      <c r="E2883" s="14" t="s">
        <v>12</v>
      </c>
      <c r="F2883" s="12" t="s">
        <v>441</v>
      </c>
      <c r="G2883" s="15">
        <v>10</v>
      </c>
      <c r="H2883" s="12" t="s">
        <v>759</v>
      </c>
      <c r="I2883" s="12" t="s">
        <v>70</v>
      </c>
      <c r="J2883" s="2" t="s">
        <v>1400</v>
      </c>
      <c r="K2883" s="16">
        <v>11.35</v>
      </c>
      <c r="L2883" s="16">
        <v>17.86</v>
      </c>
      <c r="M2883" s="16">
        <v>19.36</v>
      </c>
    </row>
    <row r="2884" spans="2:13" outlineLevel="3" x14ac:dyDescent="0.2">
      <c r="B2884" s="4" t="str">
        <f>"0013190010"</f>
        <v>0013190010</v>
      </c>
      <c r="C2884" s="5" t="str">
        <f>"119397"</f>
        <v>119397</v>
      </c>
      <c r="D2884" s="12" t="s">
        <v>1227</v>
      </c>
      <c r="E2884" s="14" t="s">
        <v>12</v>
      </c>
      <c r="F2884" s="12" t="s">
        <v>441</v>
      </c>
      <c r="G2884" s="15">
        <v>10</v>
      </c>
      <c r="H2884" s="12" t="s">
        <v>759</v>
      </c>
      <c r="I2884" s="12" t="s">
        <v>22</v>
      </c>
      <c r="K2884" s="16">
        <v>11.35</v>
      </c>
      <c r="L2884" s="16">
        <v>17.86</v>
      </c>
      <c r="M2884" s="16">
        <v>19.36</v>
      </c>
    </row>
    <row r="2885" spans="2:13" ht="22.5" outlineLevel="3" x14ac:dyDescent="0.2">
      <c r="B2885" s="4" t="str">
        <f>"0013190010"</f>
        <v>0013190010</v>
      </c>
      <c r="C2885" s="5" t="str">
        <f>"146020"</f>
        <v>146020</v>
      </c>
      <c r="D2885" s="12" t="s">
        <v>760</v>
      </c>
      <c r="E2885" s="14" t="s">
        <v>12</v>
      </c>
      <c r="F2885" s="12" t="s">
        <v>441</v>
      </c>
      <c r="G2885" s="15">
        <v>10</v>
      </c>
      <c r="H2885" s="12" t="s">
        <v>759</v>
      </c>
      <c r="I2885" s="12" t="s">
        <v>104</v>
      </c>
      <c r="K2885" s="16">
        <v>11.35</v>
      </c>
      <c r="L2885" s="16">
        <v>17.86</v>
      </c>
      <c r="M2885" s="16">
        <v>19.36</v>
      </c>
    </row>
    <row r="2886" spans="2:13" outlineLevel="2" x14ac:dyDescent="0.2"/>
    <row r="2887" spans="2:13" outlineLevel="3" x14ac:dyDescent="0.2">
      <c r="B2887" s="4" t="str">
        <f>"0013190060"</f>
        <v>0013190060</v>
      </c>
      <c r="C2887" s="5" t="str">
        <f>"119408"</f>
        <v>119408</v>
      </c>
      <c r="D2887" s="12" t="s">
        <v>1227</v>
      </c>
      <c r="E2887" s="14" t="s">
        <v>12</v>
      </c>
      <c r="F2887" s="12" t="s">
        <v>441</v>
      </c>
      <c r="G2887" s="15">
        <v>60</v>
      </c>
      <c r="H2887" s="12" t="s">
        <v>759</v>
      </c>
      <c r="I2887" s="12" t="s">
        <v>22</v>
      </c>
      <c r="K2887" s="16">
        <v>63.22</v>
      </c>
      <c r="L2887" s="16">
        <v>93.03</v>
      </c>
      <c r="M2887" s="16">
        <v>58.12</v>
      </c>
    </row>
    <row r="2888" spans="2:13" outlineLevel="3" x14ac:dyDescent="0.2">
      <c r="B2888" s="4" t="str">
        <f>"0013190060"</f>
        <v>0013190060</v>
      </c>
      <c r="C2888" s="5" t="str">
        <f>"129419"</f>
        <v>129419</v>
      </c>
      <c r="D2888" s="12" t="s">
        <v>1228</v>
      </c>
      <c r="E2888" s="14" t="s">
        <v>12</v>
      </c>
      <c r="F2888" s="12" t="s">
        <v>441</v>
      </c>
      <c r="G2888" s="15">
        <v>60</v>
      </c>
      <c r="H2888" s="12" t="s">
        <v>759</v>
      </c>
      <c r="I2888" s="12" t="s">
        <v>700</v>
      </c>
      <c r="K2888" s="16">
        <v>41.4</v>
      </c>
      <c r="L2888" s="16">
        <v>62.49</v>
      </c>
      <c r="M2888" s="16">
        <v>58.12</v>
      </c>
    </row>
    <row r="2889" spans="2:13" ht="22.5" outlineLevel="3" x14ac:dyDescent="0.2">
      <c r="B2889" s="4" t="str">
        <f>"0013190060"</f>
        <v>0013190060</v>
      </c>
      <c r="C2889" s="5" t="str">
        <f>"371851"</f>
        <v>371851</v>
      </c>
      <c r="D2889" s="12" t="s">
        <v>760</v>
      </c>
      <c r="E2889" s="14" t="s">
        <v>12</v>
      </c>
      <c r="F2889" s="12" t="s">
        <v>441</v>
      </c>
      <c r="G2889" s="15">
        <v>60</v>
      </c>
      <c r="H2889" s="12" t="s">
        <v>759</v>
      </c>
      <c r="I2889" s="12" t="s">
        <v>104</v>
      </c>
      <c r="K2889" s="16">
        <v>41.4</v>
      </c>
      <c r="L2889" s="16">
        <v>62.49</v>
      </c>
      <c r="M2889" s="16">
        <v>58.12</v>
      </c>
    </row>
    <row r="2890" spans="2:13" outlineLevel="3" x14ac:dyDescent="0.2">
      <c r="B2890" s="4" t="str">
        <f>"0013190060"</f>
        <v>0013190060</v>
      </c>
      <c r="C2890" s="5" t="str">
        <f>"088993"</f>
        <v>088993</v>
      </c>
      <c r="D2890" s="12" t="s">
        <v>1229</v>
      </c>
      <c r="E2890" s="14" t="s">
        <v>12</v>
      </c>
      <c r="F2890" s="12" t="s">
        <v>441</v>
      </c>
      <c r="G2890" s="15">
        <v>60</v>
      </c>
      <c r="H2890" s="12" t="s">
        <v>759</v>
      </c>
      <c r="I2890" s="12" t="s">
        <v>70</v>
      </c>
      <c r="J2890" s="2" t="s">
        <v>1400</v>
      </c>
      <c r="K2890" s="16">
        <v>41.39</v>
      </c>
      <c r="L2890" s="16">
        <v>62.48</v>
      </c>
      <c r="M2890" s="16">
        <v>58.12</v>
      </c>
    </row>
    <row r="2891" spans="2:13" ht="22.5" outlineLevel="3" x14ac:dyDescent="0.2">
      <c r="B2891" s="4" t="str">
        <f>"0013190060"</f>
        <v>0013190060</v>
      </c>
      <c r="C2891" s="5" t="str">
        <f>"145570"</f>
        <v>145570</v>
      </c>
      <c r="D2891" s="12" t="s">
        <v>758</v>
      </c>
      <c r="E2891" s="14" t="s">
        <v>12</v>
      </c>
      <c r="F2891" s="12" t="s">
        <v>441</v>
      </c>
      <c r="G2891" s="15">
        <v>60</v>
      </c>
      <c r="H2891" s="12" t="s">
        <v>759</v>
      </c>
      <c r="I2891" s="12" t="s">
        <v>79</v>
      </c>
      <c r="K2891" s="16">
        <v>37.11</v>
      </c>
      <c r="L2891" s="16">
        <v>56.12</v>
      </c>
      <c r="M2891" s="16">
        <v>58.12</v>
      </c>
    </row>
    <row r="2892" spans="2:13" outlineLevel="2" x14ac:dyDescent="0.2"/>
    <row r="2893" spans="2:13" ht="22.5" outlineLevel="3" x14ac:dyDescent="0.2">
      <c r="B2893" s="4" t="str">
        <f t="shared" ref="B2893:B2898" si="91">"0013190100"</f>
        <v>0013190100</v>
      </c>
      <c r="C2893" s="5" t="str">
        <f>"527171"</f>
        <v>527171</v>
      </c>
      <c r="D2893" s="12" t="s">
        <v>760</v>
      </c>
      <c r="E2893" s="14" t="s">
        <v>12</v>
      </c>
      <c r="F2893" s="12" t="s">
        <v>441</v>
      </c>
      <c r="G2893" s="15">
        <v>100</v>
      </c>
      <c r="H2893" s="12" t="s">
        <v>759</v>
      </c>
      <c r="I2893" s="12" t="s">
        <v>104</v>
      </c>
      <c r="J2893" s="2" t="s">
        <v>1400</v>
      </c>
      <c r="K2893" s="16" t="s">
        <v>1401</v>
      </c>
      <c r="L2893" s="16" t="s">
        <v>1401</v>
      </c>
      <c r="M2893" s="16">
        <v>104.55</v>
      </c>
    </row>
    <row r="2894" spans="2:13" outlineLevel="3" x14ac:dyDescent="0.2">
      <c r="B2894" s="4" t="str">
        <f t="shared" si="91"/>
        <v>0013190100</v>
      </c>
      <c r="C2894" s="5" t="str">
        <f>"119419"</f>
        <v>119419</v>
      </c>
      <c r="D2894" s="12" t="s">
        <v>1227</v>
      </c>
      <c r="E2894" s="14" t="s">
        <v>12</v>
      </c>
      <c r="F2894" s="12" t="s">
        <v>441</v>
      </c>
      <c r="G2894" s="15">
        <v>100</v>
      </c>
      <c r="H2894" s="12" t="s">
        <v>759</v>
      </c>
      <c r="I2894" s="12" t="s">
        <v>22</v>
      </c>
      <c r="K2894" s="16">
        <v>103.36</v>
      </c>
      <c r="L2894" s="16">
        <v>147.94</v>
      </c>
      <c r="M2894" s="16">
        <v>104.55</v>
      </c>
    </row>
    <row r="2895" spans="2:13" outlineLevel="3" x14ac:dyDescent="0.2">
      <c r="B2895" s="4" t="str">
        <f t="shared" si="91"/>
        <v>0013190100</v>
      </c>
      <c r="C2895" s="5" t="str">
        <f>"538794"</f>
        <v>538794</v>
      </c>
      <c r="D2895" s="12" t="s">
        <v>1229</v>
      </c>
      <c r="E2895" s="14" t="s">
        <v>12</v>
      </c>
      <c r="F2895" s="12" t="s">
        <v>441</v>
      </c>
      <c r="G2895" s="15">
        <v>100</v>
      </c>
      <c r="H2895" s="12" t="s">
        <v>759</v>
      </c>
      <c r="I2895" s="12" t="s">
        <v>70</v>
      </c>
      <c r="J2895" s="2" t="s">
        <v>1400</v>
      </c>
      <c r="K2895" s="16">
        <v>74.7</v>
      </c>
      <c r="L2895" s="16">
        <v>108.81</v>
      </c>
      <c r="M2895" s="16">
        <v>104.55</v>
      </c>
    </row>
    <row r="2896" spans="2:13" ht="22.5" outlineLevel="3" x14ac:dyDescent="0.2">
      <c r="B2896" s="4" t="str">
        <f t="shared" si="91"/>
        <v>0013190100</v>
      </c>
      <c r="C2896" s="5" t="str">
        <f>"384498"</f>
        <v>384498</v>
      </c>
      <c r="D2896" s="12" t="s">
        <v>760</v>
      </c>
      <c r="E2896" s="14" t="s">
        <v>12</v>
      </c>
      <c r="F2896" s="12" t="s">
        <v>441</v>
      </c>
      <c r="G2896" s="15">
        <v>100</v>
      </c>
      <c r="H2896" s="12" t="s">
        <v>759</v>
      </c>
      <c r="I2896" s="12" t="s">
        <v>104</v>
      </c>
      <c r="K2896" s="16">
        <v>74.7</v>
      </c>
      <c r="L2896" s="16">
        <v>108.81</v>
      </c>
      <c r="M2896" s="16">
        <v>104.55</v>
      </c>
    </row>
    <row r="2897" spans="1:13" outlineLevel="3" x14ac:dyDescent="0.2">
      <c r="B2897" s="4" t="str">
        <f t="shared" si="91"/>
        <v>0013190100</v>
      </c>
      <c r="C2897" s="5" t="str">
        <f>"477295"</f>
        <v>477295</v>
      </c>
      <c r="D2897" s="12" t="s">
        <v>1228</v>
      </c>
      <c r="E2897" s="14" t="s">
        <v>12</v>
      </c>
      <c r="F2897" s="12" t="s">
        <v>441</v>
      </c>
      <c r="G2897" s="15">
        <v>100</v>
      </c>
      <c r="H2897" s="12" t="s">
        <v>759</v>
      </c>
      <c r="I2897" s="12" t="s">
        <v>700</v>
      </c>
      <c r="K2897" s="16">
        <v>74.7</v>
      </c>
      <c r="L2897" s="16">
        <v>108.81</v>
      </c>
      <c r="M2897" s="16">
        <v>104.55</v>
      </c>
    </row>
    <row r="2898" spans="1:13" ht="22.5" outlineLevel="3" x14ac:dyDescent="0.2">
      <c r="B2898" s="4" t="str">
        <f t="shared" si="91"/>
        <v>0013190100</v>
      </c>
      <c r="C2898" s="5" t="str">
        <f>"182882"</f>
        <v>182882</v>
      </c>
      <c r="D2898" s="12" t="s">
        <v>758</v>
      </c>
      <c r="E2898" s="14" t="s">
        <v>12</v>
      </c>
      <c r="F2898" s="12" t="s">
        <v>441</v>
      </c>
      <c r="G2898" s="15">
        <v>100</v>
      </c>
      <c r="H2898" s="12" t="s">
        <v>759</v>
      </c>
      <c r="I2898" s="12" t="s">
        <v>79</v>
      </c>
      <c r="K2898" s="16">
        <v>70.150000000000006</v>
      </c>
      <c r="L2898" s="16">
        <v>102.55</v>
      </c>
      <c r="M2898" s="16">
        <v>104.55</v>
      </c>
    </row>
    <row r="2899" spans="1:13" outlineLevel="2" x14ac:dyDescent="0.2"/>
    <row r="2900" spans="1:13" outlineLevel="3" x14ac:dyDescent="0.2">
      <c r="B2900" s="4" t="str">
        <f>"0013230010"</f>
        <v>0013230010</v>
      </c>
      <c r="C2900" s="5" t="str">
        <f>"123795"</f>
        <v>123795</v>
      </c>
      <c r="D2900" s="12" t="s">
        <v>1229</v>
      </c>
      <c r="E2900" s="14" t="s">
        <v>106</v>
      </c>
      <c r="F2900" s="12" t="s">
        <v>441</v>
      </c>
      <c r="G2900" s="15">
        <v>10</v>
      </c>
      <c r="H2900" s="12" t="s">
        <v>759</v>
      </c>
      <c r="I2900" s="12" t="s">
        <v>70</v>
      </c>
      <c r="K2900" s="16">
        <v>2.16</v>
      </c>
      <c r="L2900" s="16">
        <v>3.44</v>
      </c>
      <c r="M2900" s="16">
        <v>3.45</v>
      </c>
    </row>
    <row r="2901" spans="1:13" outlineLevel="3" x14ac:dyDescent="0.2">
      <c r="B2901" s="4" t="str">
        <f>"0013230010"</f>
        <v>0013230010</v>
      </c>
      <c r="C2901" s="5" t="str">
        <f>"175058"</f>
        <v>175058</v>
      </c>
      <c r="D2901" s="12" t="s">
        <v>1228</v>
      </c>
      <c r="E2901" s="14" t="s">
        <v>106</v>
      </c>
      <c r="F2901" s="12" t="s">
        <v>441</v>
      </c>
      <c r="G2901" s="15">
        <v>10</v>
      </c>
      <c r="H2901" s="12" t="s">
        <v>759</v>
      </c>
      <c r="I2901" s="12" t="s">
        <v>700</v>
      </c>
      <c r="K2901" s="16">
        <v>2.16</v>
      </c>
      <c r="L2901" s="16">
        <v>3.44</v>
      </c>
      <c r="M2901" s="16">
        <v>3.45</v>
      </c>
    </row>
    <row r="2902" spans="1:13" ht="22.5" outlineLevel="3" x14ac:dyDescent="0.2">
      <c r="B2902" s="4" t="str">
        <f>"0013230010"</f>
        <v>0013230010</v>
      </c>
      <c r="C2902" s="5" t="str">
        <f>"498408"</f>
        <v>498408</v>
      </c>
      <c r="D2902" s="12" t="s">
        <v>760</v>
      </c>
      <c r="E2902" s="14" t="s">
        <v>106</v>
      </c>
      <c r="F2902" s="12" t="s">
        <v>441</v>
      </c>
      <c r="G2902" s="15">
        <v>10</v>
      </c>
      <c r="H2902" s="12" t="s">
        <v>759</v>
      </c>
      <c r="I2902" s="12" t="s">
        <v>104</v>
      </c>
      <c r="K2902" s="16">
        <v>2.16</v>
      </c>
      <c r="L2902" s="16">
        <v>3.44</v>
      </c>
      <c r="M2902" s="16">
        <v>3.45</v>
      </c>
    </row>
    <row r="2903" spans="1:13" ht="22.5" outlineLevel="3" x14ac:dyDescent="0.2">
      <c r="B2903" s="4" t="str">
        <f>"0013230010"</f>
        <v>0013230010</v>
      </c>
      <c r="C2903" s="5" t="str">
        <f>"555246"</f>
        <v>555246</v>
      </c>
      <c r="D2903" s="12" t="s">
        <v>758</v>
      </c>
      <c r="E2903" s="14" t="s">
        <v>106</v>
      </c>
      <c r="F2903" s="12" t="s">
        <v>441</v>
      </c>
      <c r="G2903" s="15">
        <v>10</v>
      </c>
      <c r="H2903" s="12" t="s">
        <v>759</v>
      </c>
      <c r="I2903" s="12" t="s">
        <v>79</v>
      </c>
      <c r="K2903" s="16">
        <v>1.22</v>
      </c>
      <c r="L2903" s="16">
        <v>1.95</v>
      </c>
      <c r="M2903" s="16">
        <v>3.45</v>
      </c>
    </row>
    <row r="2904" spans="1:13" outlineLevel="2" x14ac:dyDescent="0.2"/>
    <row r="2905" spans="1:13" ht="22.5" outlineLevel="3" x14ac:dyDescent="0.2">
      <c r="B2905" s="4" t="str">
        <f>"0013230100"</f>
        <v>0013230100</v>
      </c>
      <c r="C2905" s="5" t="str">
        <f>"039482"</f>
        <v>039482</v>
      </c>
      <c r="D2905" s="12" t="s">
        <v>760</v>
      </c>
      <c r="E2905" s="14" t="s">
        <v>106</v>
      </c>
      <c r="F2905" s="12" t="s">
        <v>441</v>
      </c>
      <c r="G2905" s="15">
        <v>100</v>
      </c>
      <c r="H2905" s="12" t="s">
        <v>759</v>
      </c>
      <c r="I2905" s="12" t="s">
        <v>104</v>
      </c>
      <c r="J2905" s="2" t="s">
        <v>1400</v>
      </c>
      <c r="K2905" s="16" t="s">
        <v>1401</v>
      </c>
      <c r="L2905" s="16" t="s">
        <v>1401</v>
      </c>
      <c r="M2905" s="16">
        <v>33.950000000000003</v>
      </c>
    </row>
    <row r="2906" spans="1:13" outlineLevel="3" x14ac:dyDescent="0.2">
      <c r="B2906" s="4" t="str">
        <f>"0013230100"</f>
        <v>0013230100</v>
      </c>
      <c r="C2906" s="5" t="str">
        <f>"193759"</f>
        <v>193759</v>
      </c>
      <c r="D2906" s="12" t="s">
        <v>1229</v>
      </c>
      <c r="E2906" s="14" t="s">
        <v>106</v>
      </c>
      <c r="F2906" s="12" t="s">
        <v>441</v>
      </c>
      <c r="G2906" s="15">
        <v>100</v>
      </c>
      <c r="H2906" s="12" t="s">
        <v>759</v>
      </c>
      <c r="I2906" s="12" t="s">
        <v>70</v>
      </c>
      <c r="J2906" s="2" t="s">
        <v>1400</v>
      </c>
      <c r="K2906" s="16" t="s">
        <v>1401</v>
      </c>
      <c r="L2906" s="16" t="s">
        <v>1401</v>
      </c>
      <c r="M2906" s="16">
        <v>33.950000000000003</v>
      </c>
    </row>
    <row r="2907" spans="1:13" outlineLevel="3" x14ac:dyDescent="0.2">
      <c r="B2907" s="4" t="str">
        <f>"0013230100"</f>
        <v>0013230100</v>
      </c>
      <c r="C2907" s="5" t="str">
        <f>"077881"</f>
        <v>077881</v>
      </c>
      <c r="D2907" s="12" t="s">
        <v>1228</v>
      </c>
      <c r="E2907" s="14" t="s">
        <v>106</v>
      </c>
      <c r="F2907" s="12" t="s">
        <v>441</v>
      </c>
      <c r="G2907" s="15">
        <v>100</v>
      </c>
      <c r="H2907" s="12" t="s">
        <v>759</v>
      </c>
      <c r="I2907" s="12" t="s">
        <v>700</v>
      </c>
      <c r="K2907" s="16">
        <v>21.17</v>
      </c>
      <c r="L2907" s="16">
        <v>32.450000000000003</v>
      </c>
      <c r="M2907" s="16">
        <v>33.950000000000003</v>
      </c>
    </row>
    <row r="2908" spans="1:13" ht="22.5" outlineLevel="3" x14ac:dyDescent="0.2">
      <c r="B2908" s="4" t="str">
        <f>"0013230100"</f>
        <v>0013230100</v>
      </c>
      <c r="C2908" s="5" t="str">
        <f>"418144"</f>
        <v>418144</v>
      </c>
      <c r="D2908" s="12" t="s">
        <v>760</v>
      </c>
      <c r="E2908" s="14" t="s">
        <v>106</v>
      </c>
      <c r="F2908" s="12" t="s">
        <v>441</v>
      </c>
      <c r="G2908" s="15">
        <v>100</v>
      </c>
      <c r="H2908" s="12" t="s">
        <v>759</v>
      </c>
      <c r="I2908" s="12" t="s">
        <v>104</v>
      </c>
      <c r="K2908" s="16">
        <v>21.17</v>
      </c>
      <c r="L2908" s="16">
        <v>32.450000000000003</v>
      </c>
      <c r="M2908" s="16">
        <v>33.950000000000003</v>
      </c>
    </row>
    <row r="2909" spans="1:13" outlineLevel="1" x14ac:dyDescent="0.2">
      <c r="A2909" s="3"/>
    </row>
    <row r="2910" spans="1:13" outlineLevel="2" x14ac:dyDescent="0.2">
      <c r="A2910" s="3" t="s">
        <v>1557</v>
      </c>
    </row>
    <row r="2911" spans="1:13" ht="33.75" outlineLevel="3" x14ac:dyDescent="0.2">
      <c r="B2911" s="4" t="str">
        <f t="shared" ref="B2911:B2916" si="92">"0009450020"</f>
        <v>0009450020</v>
      </c>
      <c r="C2911" s="5" t="str">
        <f>"047135"</f>
        <v>047135</v>
      </c>
      <c r="D2911" s="12" t="s">
        <v>972</v>
      </c>
      <c r="E2911" s="14" t="s">
        <v>464</v>
      </c>
      <c r="F2911" s="12" t="s">
        <v>3</v>
      </c>
      <c r="G2911" s="15">
        <v>20</v>
      </c>
      <c r="H2911" s="12" t="s">
        <v>973</v>
      </c>
      <c r="I2911" s="12" t="s">
        <v>5</v>
      </c>
      <c r="K2911" s="16">
        <v>4</v>
      </c>
      <c r="L2911" s="16">
        <v>6.38</v>
      </c>
      <c r="M2911" s="16">
        <v>6.89</v>
      </c>
    </row>
    <row r="2912" spans="1:13" ht="33.75" outlineLevel="3" x14ac:dyDescent="0.2">
      <c r="B2912" s="4" t="str">
        <f t="shared" si="92"/>
        <v>0009450020</v>
      </c>
      <c r="C2912" s="5" t="str">
        <f>"088342"</f>
        <v>088342</v>
      </c>
      <c r="D2912" s="12" t="s">
        <v>975</v>
      </c>
      <c r="E2912" s="14" t="s">
        <v>464</v>
      </c>
      <c r="F2912" s="12" t="s">
        <v>3</v>
      </c>
      <c r="G2912" s="15">
        <v>20</v>
      </c>
      <c r="H2912" s="12" t="s">
        <v>973</v>
      </c>
      <c r="I2912" s="12" t="s">
        <v>104</v>
      </c>
      <c r="K2912" s="16">
        <v>4</v>
      </c>
      <c r="L2912" s="16">
        <v>6.38</v>
      </c>
      <c r="M2912" s="16">
        <v>6.89</v>
      </c>
    </row>
    <row r="2913" spans="2:13" ht="33.75" outlineLevel="3" x14ac:dyDescent="0.2">
      <c r="B2913" s="4" t="str">
        <f t="shared" si="92"/>
        <v>0009450020</v>
      </c>
      <c r="C2913" s="5" t="str">
        <f>"110260"</f>
        <v>110260</v>
      </c>
      <c r="D2913" s="12" t="s">
        <v>976</v>
      </c>
      <c r="E2913" s="14" t="s">
        <v>464</v>
      </c>
      <c r="F2913" s="12" t="s">
        <v>3</v>
      </c>
      <c r="G2913" s="15">
        <v>20</v>
      </c>
      <c r="H2913" s="12" t="s">
        <v>973</v>
      </c>
      <c r="I2913" s="12" t="s">
        <v>30</v>
      </c>
      <c r="K2913" s="16">
        <v>4</v>
      </c>
      <c r="L2913" s="16">
        <v>6.38</v>
      </c>
      <c r="M2913" s="16">
        <v>6.89</v>
      </c>
    </row>
    <row r="2914" spans="2:13" ht="33.75" outlineLevel="3" x14ac:dyDescent="0.2">
      <c r="B2914" s="4" t="str">
        <f t="shared" si="92"/>
        <v>0009450020</v>
      </c>
      <c r="C2914" s="5" t="str">
        <f>"161418"</f>
        <v>161418</v>
      </c>
      <c r="D2914" s="12" t="s">
        <v>978</v>
      </c>
      <c r="E2914" s="14" t="s">
        <v>464</v>
      </c>
      <c r="F2914" s="12" t="s">
        <v>3</v>
      </c>
      <c r="G2914" s="15">
        <v>20</v>
      </c>
      <c r="H2914" s="12" t="s">
        <v>973</v>
      </c>
      <c r="I2914" s="12" t="s">
        <v>70</v>
      </c>
      <c r="K2914" s="16">
        <v>4</v>
      </c>
      <c r="L2914" s="16">
        <v>6.38</v>
      </c>
      <c r="M2914" s="16">
        <v>6.89</v>
      </c>
    </row>
    <row r="2915" spans="2:13" ht="33.75" outlineLevel="3" x14ac:dyDescent="0.2">
      <c r="B2915" s="4" t="str">
        <f t="shared" si="92"/>
        <v>0009450020</v>
      </c>
      <c r="C2915" s="5" t="str">
        <f>"152930"</f>
        <v>152930</v>
      </c>
      <c r="D2915" s="12" t="s">
        <v>977</v>
      </c>
      <c r="E2915" s="14" t="s">
        <v>464</v>
      </c>
      <c r="F2915" s="12" t="s">
        <v>3</v>
      </c>
      <c r="G2915" s="15">
        <v>20</v>
      </c>
      <c r="H2915" s="12" t="s">
        <v>973</v>
      </c>
      <c r="I2915" s="12" t="s">
        <v>60</v>
      </c>
      <c r="K2915" s="16">
        <v>3.39</v>
      </c>
      <c r="L2915" s="16">
        <v>5.41</v>
      </c>
      <c r="M2915" s="16">
        <v>6.89</v>
      </c>
    </row>
    <row r="2916" spans="2:13" ht="33.75" outlineLevel="3" x14ac:dyDescent="0.2">
      <c r="B2916" s="4" t="str">
        <f t="shared" si="92"/>
        <v>0009450020</v>
      </c>
      <c r="C2916" s="5" t="str">
        <f>"077385"</f>
        <v>077385</v>
      </c>
      <c r="D2916" s="12" t="s">
        <v>974</v>
      </c>
      <c r="E2916" s="14" t="s">
        <v>464</v>
      </c>
      <c r="F2916" s="12" t="s">
        <v>3</v>
      </c>
      <c r="G2916" s="15">
        <v>20</v>
      </c>
      <c r="H2916" s="12" t="s">
        <v>973</v>
      </c>
      <c r="I2916" s="12" t="s">
        <v>11</v>
      </c>
      <c r="K2916" s="16">
        <v>3.38</v>
      </c>
      <c r="L2916" s="16">
        <v>5.39</v>
      </c>
      <c r="M2916" s="16">
        <v>6.89</v>
      </c>
    </row>
    <row r="2917" spans="2:13" outlineLevel="2" x14ac:dyDescent="0.2"/>
    <row r="2918" spans="2:13" ht="33.75" outlineLevel="3" x14ac:dyDescent="0.2">
      <c r="B2918" s="4" t="str">
        <f>"0009450060"</f>
        <v>0009450060</v>
      </c>
      <c r="C2918" s="5" t="str">
        <f>"076628"</f>
        <v>076628</v>
      </c>
      <c r="D2918" s="12" t="s">
        <v>976</v>
      </c>
      <c r="E2918" s="14" t="s">
        <v>464</v>
      </c>
      <c r="F2918" s="12" t="s">
        <v>3</v>
      </c>
      <c r="G2918" s="15">
        <v>60</v>
      </c>
      <c r="H2918" s="12" t="s">
        <v>973</v>
      </c>
      <c r="I2918" s="12" t="s">
        <v>30</v>
      </c>
      <c r="K2918" s="16">
        <v>10.5</v>
      </c>
      <c r="L2918" s="16">
        <v>16.61</v>
      </c>
      <c r="M2918" s="16">
        <v>17.45</v>
      </c>
    </row>
    <row r="2919" spans="2:13" ht="33.75" outlineLevel="3" x14ac:dyDescent="0.2">
      <c r="B2919" s="4" t="str">
        <f>"0009450060"</f>
        <v>0009450060</v>
      </c>
      <c r="C2919" s="5" t="str">
        <f>"423391"</f>
        <v>423391</v>
      </c>
      <c r="D2919" s="12" t="s">
        <v>974</v>
      </c>
      <c r="E2919" s="14" t="s">
        <v>464</v>
      </c>
      <c r="F2919" s="12" t="s">
        <v>3</v>
      </c>
      <c r="G2919" s="15">
        <v>60</v>
      </c>
      <c r="H2919" s="12" t="s">
        <v>973</v>
      </c>
      <c r="I2919" s="12" t="s">
        <v>11</v>
      </c>
      <c r="K2919" s="16">
        <v>10.06</v>
      </c>
      <c r="L2919" s="16">
        <v>15.95</v>
      </c>
      <c r="M2919" s="16">
        <v>17.45</v>
      </c>
    </row>
    <row r="2920" spans="2:13" outlineLevel="2" x14ac:dyDescent="0.2"/>
    <row r="2921" spans="2:13" ht="33.75" outlineLevel="3" x14ac:dyDescent="0.2">
      <c r="B2921" s="4" t="str">
        <f>"0009450100"</f>
        <v>0009450100</v>
      </c>
      <c r="C2921" s="5" t="str">
        <f>"590590"</f>
        <v>590590</v>
      </c>
      <c r="D2921" s="12" t="s">
        <v>972</v>
      </c>
      <c r="E2921" s="14" t="s">
        <v>464</v>
      </c>
      <c r="F2921" s="12" t="s">
        <v>3</v>
      </c>
      <c r="G2921" s="15">
        <v>100</v>
      </c>
      <c r="H2921" s="12" t="s">
        <v>973</v>
      </c>
      <c r="I2921" s="12" t="s">
        <v>5</v>
      </c>
      <c r="K2921" s="16">
        <v>18.02</v>
      </c>
      <c r="L2921" s="16">
        <v>27.78</v>
      </c>
      <c r="M2921" s="16">
        <v>29.28</v>
      </c>
    </row>
    <row r="2922" spans="2:13" outlineLevel="2" x14ac:dyDescent="0.2"/>
    <row r="2923" spans="2:13" ht="33.75" outlineLevel="3" x14ac:dyDescent="0.2">
      <c r="B2923" s="4" t="str">
        <f>"0009460020"</f>
        <v>0009460020</v>
      </c>
      <c r="C2923" s="5" t="str">
        <f>"024892"</f>
        <v>024892</v>
      </c>
      <c r="D2923" s="12" t="s">
        <v>978</v>
      </c>
      <c r="E2923" s="14" t="s">
        <v>465</v>
      </c>
      <c r="F2923" s="12" t="s">
        <v>3</v>
      </c>
      <c r="G2923" s="15">
        <v>20</v>
      </c>
      <c r="H2923" s="12" t="s">
        <v>973</v>
      </c>
      <c r="I2923" s="12" t="s">
        <v>70</v>
      </c>
      <c r="J2923" s="2" t="s">
        <v>1400</v>
      </c>
      <c r="K2923" s="16">
        <v>7.99</v>
      </c>
      <c r="L2923" s="16">
        <v>12.75</v>
      </c>
      <c r="M2923" s="16">
        <v>14.25</v>
      </c>
    </row>
    <row r="2924" spans="2:13" ht="33.75" outlineLevel="3" x14ac:dyDescent="0.2">
      <c r="B2924" s="4" t="str">
        <f>"0009460020"</f>
        <v>0009460020</v>
      </c>
      <c r="C2924" s="5" t="str">
        <f>"088352"</f>
        <v>088352</v>
      </c>
      <c r="D2924" s="12" t="s">
        <v>975</v>
      </c>
      <c r="E2924" s="14" t="s">
        <v>465</v>
      </c>
      <c r="F2924" s="12" t="s">
        <v>3</v>
      </c>
      <c r="G2924" s="15">
        <v>20</v>
      </c>
      <c r="H2924" s="12" t="s">
        <v>973</v>
      </c>
      <c r="I2924" s="12" t="s">
        <v>104</v>
      </c>
      <c r="K2924" s="16">
        <v>7.99</v>
      </c>
      <c r="L2924" s="16">
        <v>12.75</v>
      </c>
      <c r="M2924" s="16">
        <v>14.25</v>
      </c>
    </row>
    <row r="2925" spans="2:13" ht="33.75" outlineLevel="3" x14ac:dyDescent="0.2">
      <c r="B2925" s="4" t="str">
        <f>"0009460020"</f>
        <v>0009460020</v>
      </c>
      <c r="C2925" s="5" t="str">
        <f>"125564"</f>
        <v>125564</v>
      </c>
      <c r="D2925" s="12" t="s">
        <v>972</v>
      </c>
      <c r="E2925" s="14" t="s">
        <v>465</v>
      </c>
      <c r="F2925" s="12" t="s">
        <v>3</v>
      </c>
      <c r="G2925" s="15">
        <v>20</v>
      </c>
      <c r="H2925" s="12" t="s">
        <v>973</v>
      </c>
      <c r="I2925" s="12" t="s">
        <v>5</v>
      </c>
      <c r="K2925" s="16">
        <v>7.99</v>
      </c>
      <c r="L2925" s="16">
        <v>12.75</v>
      </c>
      <c r="M2925" s="16">
        <v>14.25</v>
      </c>
    </row>
    <row r="2926" spans="2:13" ht="33.75" outlineLevel="3" x14ac:dyDescent="0.2">
      <c r="B2926" s="4" t="str">
        <f>"0009460020"</f>
        <v>0009460020</v>
      </c>
      <c r="C2926" s="5" t="str">
        <f>"567263"</f>
        <v>567263</v>
      </c>
      <c r="D2926" s="12" t="s">
        <v>979</v>
      </c>
      <c r="E2926" s="14" t="s">
        <v>465</v>
      </c>
      <c r="F2926" s="12" t="s">
        <v>3</v>
      </c>
      <c r="G2926" s="15">
        <v>20</v>
      </c>
      <c r="H2926" s="12" t="s">
        <v>973</v>
      </c>
      <c r="I2926" s="12" t="s">
        <v>980</v>
      </c>
      <c r="K2926" s="16">
        <v>7.99</v>
      </c>
      <c r="L2926" s="16">
        <v>12.75</v>
      </c>
      <c r="M2926" s="16">
        <v>14.25</v>
      </c>
    </row>
    <row r="2927" spans="2:13" outlineLevel="2" x14ac:dyDescent="0.2"/>
    <row r="2928" spans="2:13" ht="22.5" outlineLevel="3" x14ac:dyDescent="0.2">
      <c r="B2928" s="4" t="str">
        <f>"0009460030"</f>
        <v>0009460030</v>
      </c>
      <c r="C2928" s="5" t="str">
        <f>"110360"</f>
        <v>110360</v>
      </c>
      <c r="D2928" s="12" t="s">
        <v>976</v>
      </c>
      <c r="E2928" s="14" t="s">
        <v>465</v>
      </c>
      <c r="F2928" s="12" t="s">
        <v>432</v>
      </c>
      <c r="G2928" s="15">
        <v>28</v>
      </c>
      <c r="H2928" s="12" t="s">
        <v>973</v>
      </c>
      <c r="I2928" s="12" t="s">
        <v>30</v>
      </c>
      <c r="K2928" s="16">
        <v>9.51</v>
      </c>
      <c r="L2928" s="16">
        <v>15.14</v>
      </c>
      <c r="M2928" s="16">
        <v>16.64</v>
      </c>
    </row>
    <row r="2929" spans="2:13" outlineLevel="2" x14ac:dyDescent="0.2"/>
    <row r="2930" spans="2:13" ht="33.75" outlineLevel="3" x14ac:dyDescent="0.2">
      <c r="B2930" s="4" t="str">
        <f>"0009460060"</f>
        <v>0009460060</v>
      </c>
      <c r="C2930" s="5" t="str">
        <f>"567503"</f>
        <v>567503</v>
      </c>
      <c r="D2930" s="12" t="s">
        <v>979</v>
      </c>
      <c r="E2930" s="14" t="s">
        <v>465</v>
      </c>
      <c r="F2930" s="12" t="s">
        <v>3</v>
      </c>
      <c r="G2930" s="15">
        <v>60</v>
      </c>
      <c r="H2930" s="12" t="s">
        <v>973</v>
      </c>
      <c r="I2930" s="12" t="s">
        <v>980</v>
      </c>
      <c r="K2930" s="16">
        <v>23.01</v>
      </c>
      <c r="L2930" s="16">
        <v>35.18</v>
      </c>
      <c r="M2930" s="16">
        <v>27</v>
      </c>
    </row>
    <row r="2931" spans="2:13" ht="33.75" outlineLevel="3" x14ac:dyDescent="0.2">
      <c r="B2931" s="4" t="str">
        <f>"0009460060"</f>
        <v>0009460060</v>
      </c>
      <c r="C2931" s="5" t="str">
        <f>"024903"</f>
        <v>024903</v>
      </c>
      <c r="D2931" s="12" t="s">
        <v>978</v>
      </c>
      <c r="E2931" s="14" t="s">
        <v>465</v>
      </c>
      <c r="F2931" s="12" t="s">
        <v>3</v>
      </c>
      <c r="G2931" s="15">
        <v>60</v>
      </c>
      <c r="H2931" s="12" t="s">
        <v>973</v>
      </c>
      <c r="I2931" s="12" t="s">
        <v>70</v>
      </c>
      <c r="J2931" s="2" t="s">
        <v>1400</v>
      </c>
      <c r="K2931" s="16">
        <v>16.489999999999998</v>
      </c>
      <c r="L2931" s="16">
        <v>25.5</v>
      </c>
      <c r="M2931" s="16">
        <v>27</v>
      </c>
    </row>
    <row r="2932" spans="2:13" ht="33.75" outlineLevel="3" x14ac:dyDescent="0.2">
      <c r="B2932" s="4" t="str">
        <f>"0009460060"</f>
        <v>0009460060</v>
      </c>
      <c r="C2932" s="5" t="str">
        <f>"088361"</f>
        <v>088361</v>
      </c>
      <c r="D2932" s="12" t="s">
        <v>975</v>
      </c>
      <c r="E2932" s="14" t="s">
        <v>465</v>
      </c>
      <c r="F2932" s="12" t="s">
        <v>3</v>
      </c>
      <c r="G2932" s="15">
        <v>60</v>
      </c>
      <c r="H2932" s="12" t="s">
        <v>973</v>
      </c>
      <c r="I2932" s="12" t="s">
        <v>104</v>
      </c>
      <c r="K2932" s="16">
        <v>16.489999999999998</v>
      </c>
      <c r="L2932" s="16">
        <v>25.5</v>
      </c>
      <c r="M2932" s="16">
        <v>27</v>
      </c>
    </row>
    <row r="2933" spans="2:13" ht="33.75" outlineLevel="3" x14ac:dyDescent="0.2">
      <c r="B2933" s="4" t="str">
        <f>"0009460060"</f>
        <v>0009460060</v>
      </c>
      <c r="C2933" s="5" t="str">
        <f>"110287"</f>
        <v>110287</v>
      </c>
      <c r="D2933" s="12" t="s">
        <v>976</v>
      </c>
      <c r="E2933" s="14" t="s">
        <v>465</v>
      </c>
      <c r="F2933" s="12" t="s">
        <v>3</v>
      </c>
      <c r="G2933" s="15">
        <v>60</v>
      </c>
      <c r="H2933" s="12" t="s">
        <v>973</v>
      </c>
      <c r="I2933" s="12" t="s">
        <v>30</v>
      </c>
      <c r="K2933" s="16">
        <v>16.489999999999998</v>
      </c>
      <c r="L2933" s="16">
        <v>25.5</v>
      </c>
      <c r="M2933" s="16">
        <v>27</v>
      </c>
    </row>
    <row r="2934" spans="2:13" ht="33.75" outlineLevel="3" x14ac:dyDescent="0.2">
      <c r="B2934" s="4" t="str">
        <f>"0009460060"</f>
        <v>0009460060</v>
      </c>
      <c r="C2934" s="5" t="str">
        <f>"468619"</f>
        <v>468619</v>
      </c>
      <c r="D2934" s="12" t="s">
        <v>972</v>
      </c>
      <c r="E2934" s="14" t="s">
        <v>465</v>
      </c>
      <c r="F2934" s="12" t="s">
        <v>3</v>
      </c>
      <c r="G2934" s="15">
        <v>60</v>
      </c>
      <c r="H2934" s="12" t="s">
        <v>973</v>
      </c>
      <c r="I2934" s="12" t="s">
        <v>5</v>
      </c>
      <c r="K2934" s="16">
        <v>16.489999999999998</v>
      </c>
      <c r="L2934" s="16">
        <v>25.5</v>
      </c>
      <c r="M2934" s="16">
        <v>27</v>
      </c>
    </row>
    <row r="2935" spans="2:13" outlineLevel="2" x14ac:dyDescent="0.2"/>
    <row r="2936" spans="2:13" outlineLevel="3" x14ac:dyDescent="0.2">
      <c r="B2936" s="4" t="str">
        <f>"0009470100"</f>
        <v>0009470100</v>
      </c>
      <c r="C2936" s="5" t="str">
        <f>"070797"</f>
        <v>070797</v>
      </c>
      <c r="D2936" s="12" t="s">
        <v>979</v>
      </c>
      <c r="E2936" s="14" t="s">
        <v>805</v>
      </c>
      <c r="F2936" s="12" t="s">
        <v>34</v>
      </c>
      <c r="G2936" s="15" t="s">
        <v>260</v>
      </c>
      <c r="H2936" s="12" t="s">
        <v>973</v>
      </c>
      <c r="I2936" s="12" t="s">
        <v>980</v>
      </c>
      <c r="K2936" s="16">
        <v>46.01</v>
      </c>
      <c r="L2936" s="16">
        <v>69.33</v>
      </c>
      <c r="M2936" s="16">
        <v>71.33</v>
      </c>
    </row>
    <row r="2937" spans="2:13" outlineLevel="3" x14ac:dyDescent="0.2">
      <c r="B2937" s="4" t="str">
        <f>"0009470100"</f>
        <v>0009470100</v>
      </c>
      <c r="C2937" s="5" t="str">
        <f>"091396"</f>
        <v>091396</v>
      </c>
      <c r="D2937" s="12" t="s">
        <v>978</v>
      </c>
      <c r="E2937" s="14" t="s">
        <v>805</v>
      </c>
      <c r="F2937" s="12" t="s">
        <v>34</v>
      </c>
      <c r="G2937" s="15" t="s">
        <v>260</v>
      </c>
      <c r="H2937" s="12" t="s">
        <v>973</v>
      </c>
      <c r="I2937" s="12" t="s">
        <v>70</v>
      </c>
      <c r="K2937" s="16">
        <v>46.01</v>
      </c>
      <c r="L2937" s="16">
        <v>69.33</v>
      </c>
      <c r="M2937" s="16">
        <v>71.33</v>
      </c>
    </row>
    <row r="2938" spans="2:13" outlineLevel="3" x14ac:dyDescent="0.2">
      <c r="B2938" s="4" t="str">
        <f>"0009470100"</f>
        <v>0009470100</v>
      </c>
      <c r="C2938" s="5" t="str">
        <f>"154431"</f>
        <v>154431</v>
      </c>
      <c r="D2938" s="12" t="s">
        <v>975</v>
      </c>
      <c r="E2938" s="14" t="s">
        <v>805</v>
      </c>
      <c r="F2938" s="12" t="s">
        <v>34</v>
      </c>
      <c r="G2938" s="15" t="s">
        <v>260</v>
      </c>
      <c r="H2938" s="12" t="s">
        <v>973</v>
      </c>
      <c r="I2938" s="12" t="s">
        <v>58</v>
      </c>
      <c r="K2938" s="16">
        <v>46.01</v>
      </c>
      <c r="L2938" s="16">
        <v>69.33</v>
      </c>
      <c r="M2938" s="16">
        <v>71.33</v>
      </c>
    </row>
    <row r="2939" spans="2:13" outlineLevel="2" x14ac:dyDescent="0.2"/>
    <row r="2940" spans="2:13" ht="22.5" outlineLevel="3" x14ac:dyDescent="0.2">
      <c r="B2940" s="4" t="str">
        <f>"0009480030"</f>
        <v>0009480030</v>
      </c>
      <c r="C2940" s="5" t="str">
        <f>"110378"</f>
        <v>110378</v>
      </c>
      <c r="D2940" s="12" t="s">
        <v>976</v>
      </c>
      <c r="E2940" s="14" t="s">
        <v>649</v>
      </c>
      <c r="F2940" s="12" t="s">
        <v>432</v>
      </c>
      <c r="G2940" s="15">
        <v>28</v>
      </c>
      <c r="H2940" s="12" t="s">
        <v>973</v>
      </c>
      <c r="I2940" s="12" t="s">
        <v>30</v>
      </c>
      <c r="K2940" s="16">
        <v>18.690000000000001</v>
      </c>
      <c r="L2940" s="16">
        <v>28.77</v>
      </c>
      <c r="M2940" s="16">
        <v>30.27</v>
      </c>
    </row>
    <row r="2941" spans="2:13" outlineLevel="2" x14ac:dyDescent="0.2"/>
    <row r="2942" spans="2:13" ht="33.75" outlineLevel="3" x14ac:dyDescent="0.2">
      <c r="B2942" s="4" t="str">
        <f>"0009480060"</f>
        <v>0009480060</v>
      </c>
      <c r="C2942" s="5" t="str">
        <f>"567511"</f>
        <v>567511</v>
      </c>
      <c r="D2942" s="12" t="s">
        <v>979</v>
      </c>
      <c r="E2942" s="14" t="s">
        <v>649</v>
      </c>
      <c r="F2942" s="12" t="s">
        <v>3</v>
      </c>
      <c r="G2942" s="15">
        <v>60</v>
      </c>
      <c r="H2942" s="12" t="s">
        <v>973</v>
      </c>
      <c r="I2942" s="12" t="s">
        <v>980</v>
      </c>
      <c r="K2942" s="16">
        <v>43.72</v>
      </c>
      <c r="L2942" s="16">
        <v>65.930000000000007</v>
      </c>
      <c r="M2942" s="16">
        <v>31.07</v>
      </c>
    </row>
    <row r="2943" spans="2:13" ht="33.75" outlineLevel="3" x14ac:dyDescent="0.2">
      <c r="B2943" s="4" t="str">
        <f>"0009480060"</f>
        <v>0009480060</v>
      </c>
      <c r="C2943" s="5" t="str">
        <f>"024963"</f>
        <v>024963</v>
      </c>
      <c r="D2943" s="12" t="s">
        <v>978</v>
      </c>
      <c r="E2943" s="14" t="s">
        <v>649</v>
      </c>
      <c r="F2943" s="12" t="s">
        <v>3</v>
      </c>
      <c r="G2943" s="15">
        <v>60</v>
      </c>
      <c r="H2943" s="12" t="s">
        <v>973</v>
      </c>
      <c r="I2943" s="12" t="s">
        <v>70</v>
      </c>
      <c r="J2943" s="2" t="s">
        <v>1400</v>
      </c>
      <c r="K2943" s="16">
        <v>19.23</v>
      </c>
      <c r="L2943" s="16">
        <v>29.57</v>
      </c>
      <c r="M2943" s="16">
        <v>31.07</v>
      </c>
    </row>
    <row r="2944" spans="2:13" ht="33.75" outlineLevel="3" x14ac:dyDescent="0.2">
      <c r="B2944" s="4" t="str">
        <f>"0009480060"</f>
        <v>0009480060</v>
      </c>
      <c r="C2944" s="5" t="str">
        <f>"088370"</f>
        <v>088370</v>
      </c>
      <c r="D2944" s="12" t="s">
        <v>975</v>
      </c>
      <c r="E2944" s="14" t="s">
        <v>649</v>
      </c>
      <c r="F2944" s="12" t="s">
        <v>3</v>
      </c>
      <c r="G2944" s="15">
        <v>60</v>
      </c>
      <c r="H2944" s="12" t="s">
        <v>973</v>
      </c>
      <c r="I2944" s="12" t="s">
        <v>104</v>
      </c>
      <c r="K2944" s="16">
        <v>19.23</v>
      </c>
      <c r="L2944" s="16">
        <v>29.57</v>
      </c>
      <c r="M2944" s="16">
        <v>31.07</v>
      </c>
    </row>
    <row r="2945" spans="1:13" ht="33.75" outlineLevel="3" x14ac:dyDescent="0.2">
      <c r="B2945" s="4" t="str">
        <f>"0009480060"</f>
        <v>0009480060</v>
      </c>
      <c r="C2945" s="5" t="str">
        <f>"152810"</f>
        <v>152810</v>
      </c>
      <c r="D2945" s="12" t="s">
        <v>972</v>
      </c>
      <c r="E2945" s="14" t="s">
        <v>649</v>
      </c>
      <c r="F2945" s="12" t="s">
        <v>3</v>
      </c>
      <c r="G2945" s="15">
        <v>60</v>
      </c>
      <c r="H2945" s="12" t="s">
        <v>973</v>
      </c>
      <c r="I2945" s="12" t="s">
        <v>5</v>
      </c>
      <c r="K2945" s="16">
        <v>19.23</v>
      </c>
      <c r="L2945" s="16">
        <v>29.57</v>
      </c>
      <c r="M2945" s="16">
        <v>31.07</v>
      </c>
    </row>
    <row r="2946" spans="1:13" outlineLevel="2" x14ac:dyDescent="0.2"/>
    <row r="2947" spans="1:13" ht="33.75" outlineLevel="3" x14ac:dyDescent="0.2">
      <c r="B2947" s="4" t="str">
        <f>"0009490060"</f>
        <v>0009490060</v>
      </c>
      <c r="C2947" s="5" t="str">
        <f>"567529"</f>
        <v>567529</v>
      </c>
      <c r="D2947" s="12" t="s">
        <v>979</v>
      </c>
      <c r="E2947" s="14" t="s">
        <v>514</v>
      </c>
      <c r="F2947" s="12" t="s">
        <v>3</v>
      </c>
      <c r="G2947" s="15">
        <v>60</v>
      </c>
      <c r="H2947" s="12" t="s">
        <v>973</v>
      </c>
      <c r="I2947" s="12" t="s">
        <v>980</v>
      </c>
      <c r="K2947" s="16">
        <v>62.31</v>
      </c>
      <c r="L2947" s="16">
        <v>91.77</v>
      </c>
      <c r="M2947" s="16">
        <v>36.630000000000003</v>
      </c>
    </row>
    <row r="2948" spans="1:13" ht="33.75" outlineLevel="3" x14ac:dyDescent="0.2">
      <c r="B2948" s="4" t="str">
        <f>"0009490060"</f>
        <v>0009490060</v>
      </c>
      <c r="C2948" s="5" t="str">
        <f>"024947"</f>
        <v>024947</v>
      </c>
      <c r="D2948" s="12" t="s">
        <v>978</v>
      </c>
      <c r="E2948" s="14" t="s">
        <v>514</v>
      </c>
      <c r="F2948" s="12" t="s">
        <v>3</v>
      </c>
      <c r="G2948" s="15">
        <v>60</v>
      </c>
      <c r="H2948" s="12" t="s">
        <v>973</v>
      </c>
      <c r="I2948" s="12" t="s">
        <v>70</v>
      </c>
      <c r="K2948" s="16">
        <v>22.98</v>
      </c>
      <c r="L2948" s="16">
        <v>35.130000000000003</v>
      </c>
      <c r="M2948" s="16">
        <v>36.630000000000003</v>
      </c>
    </row>
    <row r="2949" spans="1:13" ht="33.75" outlineLevel="3" x14ac:dyDescent="0.2">
      <c r="B2949" s="4" t="str">
        <f>"0009490060"</f>
        <v>0009490060</v>
      </c>
      <c r="C2949" s="5" t="str">
        <f>"088379"</f>
        <v>088379</v>
      </c>
      <c r="D2949" s="12" t="s">
        <v>975</v>
      </c>
      <c r="E2949" s="14" t="s">
        <v>514</v>
      </c>
      <c r="F2949" s="12" t="s">
        <v>3</v>
      </c>
      <c r="G2949" s="15">
        <v>60</v>
      </c>
      <c r="H2949" s="12" t="s">
        <v>973</v>
      </c>
      <c r="I2949" s="12" t="s">
        <v>104</v>
      </c>
      <c r="K2949" s="16">
        <v>22.98</v>
      </c>
      <c r="L2949" s="16">
        <v>35.130000000000003</v>
      </c>
      <c r="M2949" s="16">
        <v>36.630000000000003</v>
      </c>
    </row>
    <row r="2950" spans="1:13" ht="33.75" outlineLevel="3" x14ac:dyDescent="0.2">
      <c r="B2950" s="4" t="str">
        <f>"0009490060"</f>
        <v>0009490060</v>
      </c>
      <c r="C2950" s="5" t="str">
        <f>"466487"</f>
        <v>466487</v>
      </c>
      <c r="D2950" s="12" t="s">
        <v>972</v>
      </c>
      <c r="E2950" s="14" t="s">
        <v>514</v>
      </c>
      <c r="F2950" s="12" t="s">
        <v>3</v>
      </c>
      <c r="G2950" s="15">
        <v>60</v>
      </c>
      <c r="H2950" s="12" t="s">
        <v>973</v>
      </c>
      <c r="I2950" s="12" t="s">
        <v>5</v>
      </c>
      <c r="K2950" s="16">
        <v>22.98</v>
      </c>
      <c r="L2950" s="16">
        <v>35.130000000000003</v>
      </c>
      <c r="M2950" s="16">
        <v>36.630000000000003</v>
      </c>
    </row>
    <row r="2951" spans="1:13" outlineLevel="2" x14ac:dyDescent="0.2"/>
    <row r="2952" spans="1:13" ht="33.75" outlineLevel="3" x14ac:dyDescent="0.2">
      <c r="B2952" s="4" t="str">
        <f>"0009510060"</f>
        <v>0009510060</v>
      </c>
      <c r="C2952" s="5" t="str">
        <f>"567537"</f>
        <v>567537</v>
      </c>
      <c r="D2952" s="12" t="s">
        <v>979</v>
      </c>
      <c r="E2952" s="14" t="s">
        <v>179</v>
      </c>
      <c r="F2952" s="12" t="s">
        <v>3</v>
      </c>
      <c r="G2952" s="15">
        <v>60</v>
      </c>
      <c r="H2952" s="12" t="s">
        <v>973</v>
      </c>
      <c r="I2952" s="12" t="s">
        <v>980</v>
      </c>
      <c r="K2952" s="16">
        <v>78.900000000000006</v>
      </c>
      <c r="L2952" s="16">
        <v>114.59</v>
      </c>
      <c r="M2952" s="16">
        <v>34.76</v>
      </c>
    </row>
    <row r="2953" spans="1:13" ht="33.75" outlineLevel="3" x14ac:dyDescent="0.2">
      <c r="B2953" s="4" t="str">
        <f>"0009510060"</f>
        <v>0009510060</v>
      </c>
      <c r="C2953" s="5" t="str">
        <f>"024958"</f>
        <v>024958</v>
      </c>
      <c r="D2953" s="12" t="s">
        <v>978</v>
      </c>
      <c r="E2953" s="14" t="s">
        <v>179</v>
      </c>
      <c r="F2953" s="12" t="s">
        <v>3</v>
      </c>
      <c r="G2953" s="15">
        <v>60</v>
      </c>
      <c r="H2953" s="12" t="s">
        <v>973</v>
      </c>
      <c r="I2953" s="12" t="s">
        <v>70</v>
      </c>
      <c r="K2953" s="16">
        <v>21.72</v>
      </c>
      <c r="L2953" s="16">
        <v>33.26</v>
      </c>
      <c r="M2953" s="16">
        <v>34.76</v>
      </c>
    </row>
    <row r="2954" spans="1:13" ht="33.75" outlineLevel="3" x14ac:dyDescent="0.2">
      <c r="B2954" s="4" t="str">
        <f>"0009510060"</f>
        <v>0009510060</v>
      </c>
      <c r="C2954" s="5" t="str">
        <f>"050932"</f>
        <v>050932</v>
      </c>
      <c r="D2954" s="12" t="s">
        <v>972</v>
      </c>
      <c r="E2954" s="14" t="s">
        <v>179</v>
      </c>
      <c r="F2954" s="12" t="s">
        <v>3</v>
      </c>
      <c r="G2954" s="15">
        <v>60</v>
      </c>
      <c r="H2954" s="12" t="s">
        <v>973</v>
      </c>
      <c r="I2954" s="12" t="s">
        <v>5</v>
      </c>
      <c r="K2954" s="16">
        <v>21.72</v>
      </c>
      <c r="L2954" s="16">
        <v>33.26</v>
      </c>
      <c r="M2954" s="16">
        <v>34.76</v>
      </c>
    </row>
    <row r="2955" spans="1:13" ht="33.75" outlineLevel="3" x14ac:dyDescent="0.2">
      <c r="B2955" s="4" t="str">
        <f>"0009510060"</f>
        <v>0009510060</v>
      </c>
      <c r="C2955" s="5" t="str">
        <f>"088388"</f>
        <v>088388</v>
      </c>
      <c r="D2955" s="12" t="s">
        <v>975</v>
      </c>
      <c r="E2955" s="14" t="s">
        <v>179</v>
      </c>
      <c r="F2955" s="12" t="s">
        <v>3</v>
      </c>
      <c r="G2955" s="15">
        <v>60</v>
      </c>
      <c r="H2955" s="12" t="s">
        <v>973</v>
      </c>
      <c r="I2955" s="12" t="s">
        <v>104</v>
      </c>
      <c r="K2955" s="16">
        <v>21.72</v>
      </c>
      <c r="L2955" s="16">
        <v>33.26</v>
      </c>
      <c r="M2955" s="16">
        <v>34.76</v>
      </c>
    </row>
    <row r="2956" spans="1:13" outlineLevel="3" x14ac:dyDescent="0.2"/>
    <row r="2957" spans="1:13" outlineLevel="2" x14ac:dyDescent="0.2">
      <c r="A2957" s="3" t="s">
        <v>1558</v>
      </c>
    </row>
    <row r="2958" spans="1:13" outlineLevel="3" x14ac:dyDescent="0.2">
      <c r="B2958" s="4" t="str">
        <f>"0007280030"</f>
        <v>0007280030</v>
      </c>
      <c r="C2958" s="5" t="str">
        <f>"061293"</f>
        <v>061293</v>
      </c>
      <c r="D2958" s="12" t="s">
        <v>808</v>
      </c>
      <c r="E2958" s="14" t="s">
        <v>82</v>
      </c>
      <c r="F2958" s="12" t="s">
        <v>73</v>
      </c>
      <c r="G2958" s="15">
        <v>28</v>
      </c>
      <c r="H2958" s="12" t="s">
        <v>809</v>
      </c>
      <c r="I2958" s="12" t="s">
        <v>5</v>
      </c>
      <c r="K2958" s="16">
        <v>31.47</v>
      </c>
      <c r="L2958" s="16">
        <v>47.74</v>
      </c>
      <c r="M2958" s="16">
        <v>42.89</v>
      </c>
    </row>
    <row r="2959" spans="1:13" outlineLevel="3" x14ac:dyDescent="0.2">
      <c r="B2959" s="4" t="str">
        <f>"0007280030"</f>
        <v>0007280030</v>
      </c>
      <c r="C2959" s="5" t="str">
        <f>"373252"</f>
        <v>373252</v>
      </c>
      <c r="D2959" s="12" t="s">
        <v>810</v>
      </c>
      <c r="E2959" s="14" t="s">
        <v>82</v>
      </c>
      <c r="F2959" s="12" t="s">
        <v>73</v>
      </c>
      <c r="G2959" s="15">
        <v>28</v>
      </c>
      <c r="H2959" s="12" t="s">
        <v>809</v>
      </c>
      <c r="I2959" s="12" t="s">
        <v>30</v>
      </c>
      <c r="K2959" s="16">
        <v>31.47</v>
      </c>
      <c r="L2959" s="16">
        <v>47.74</v>
      </c>
      <c r="M2959" s="16">
        <v>42.89</v>
      </c>
    </row>
    <row r="2960" spans="1:13" ht="22.5" outlineLevel="3" x14ac:dyDescent="0.2">
      <c r="B2960" s="4" t="str">
        <f>"0007280030"</f>
        <v>0007280030</v>
      </c>
      <c r="C2960" s="5" t="str">
        <f>"515827"</f>
        <v>515827</v>
      </c>
      <c r="D2960" s="12" t="s">
        <v>811</v>
      </c>
      <c r="E2960" s="14" t="s">
        <v>82</v>
      </c>
      <c r="F2960" s="12" t="s">
        <v>73</v>
      </c>
      <c r="G2960" s="15" t="s">
        <v>812</v>
      </c>
      <c r="H2960" s="12" t="s">
        <v>809</v>
      </c>
      <c r="I2960" s="12" t="s">
        <v>79</v>
      </c>
      <c r="K2960" s="16">
        <v>27.22</v>
      </c>
      <c r="L2960" s="16">
        <v>41.44</v>
      </c>
      <c r="M2960" s="16">
        <v>42.89</v>
      </c>
    </row>
    <row r="2961" spans="2:13" ht="22.5" outlineLevel="3" x14ac:dyDescent="0.2">
      <c r="B2961" s="4" t="str">
        <f>"0007280030"</f>
        <v>0007280030</v>
      </c>
      <c r="C2961" s="5" t="str">
        <f>"523039"</f>
        <v>523039</v>
      </c>
      <c r="D2961" s="12" t="s">
        <v>813</v>
      </c>
      <c r="E2961" s="14" t="s">
        <v>82</v>
      </c>
      <c r="F2961" s="12" t="s">
        <v>73</v>
      </c>
      <c r="G2961" s="15">
        <v>28</v>
      </c>
      <c r="H2961" s="12" t="s">
        <v>809</v>
      </c>
      <c r="I2961" s="12" t="s">
        <v>710</v>
      </c>
      <c r="K2961" s="16">
        <v>26.85</v>
      </c>
      <c r="L2961" s="16">
        <v>40.89</v>
      </c>
      <c r="M2961" s="16">
        <v>42.89</v>
      </c>
    </row>
    <row r="2962" spans="2:13" outlineLevel="2" x14ac:dyDescent="0.2"/>
    <row r="2963" spans="2:13" outlineLevel="3" x14ac:dyDescent="0.2">
      <c r="B2963" s="4" t="str">
        <f>"0007280056"</f>
        <v>0007280056</v>
      </c>
      <c r="C2963" s="5" t="str">
        <f>"107657"</f>
        <v>107657</v>
      </c>
      <c r="D2963" s="12" t="s">
        <v>810</v>
      </c>
      <c r="E2963" s="14" t="s">
        <v>82</v>
      </c>
      <c r="F2963" s="12" t="s">
        <v>73</v>
      </c>
      <c r="G2963" s="15">
        <v>56</v>
      </c>
      <c r="H2963" s="12" t="s">
        <v>809</v>
      </c>
      <c r="I2963" s="12" t="s">
        <v>30</v>
      </c>
      <c r="K2963" s="16">
        <v>60.9</v>
      </c>
      <c r="L2963" s="16">
        <v>89.84</v>
      </c>
      <c r="M2963" s="16">
        <v>82.18</v>
      </c>
    </row>
    <row r="2964" spans="2:13" outlineLevel="3" x14ac:dyDescent="0.2">
      <c r="B2964" s="4" t="str">
        <f>"0007280056"</f>
        <v>0007280056</v>
      </c>
      <c r="C2964" s="5" t="str">
        <f>"403524"</f>
        <v>403524</v>
      </c>
      <c r="D2964" s="12" t="s">
        <v>808</v>
      </c>
      <c r="E2964" s="14" t="s">
        <v>82</v>
      </c>
      <c r="F2964" s="12" t="s">
        <v>73</v>
      </c>
      <c r="G2964" s="15">
        <v>56</v>
      </c>
      <c r="H2964" s="12" t="s">
        <v>809</v>
      </c>
      <c r="I2964" s="12" t="s">
        <v>5</v>
      </c>
      <c r="K2964" s="16">
        <v>60.9</v>
      </c>
      <c r="L2964" s="16">
        <v>89.84</v>
      </c>
      <c r="M2964" s="16">
        <v>82.18</v>
      </c>
    </row>
    <row r="2965" spans="2:13" ht="22.5" outlineLevel="3" x14ac:dyDescent="0.2">
      <c r="B2965" s="4" t="str">
        <f>"0007280056"</f>
        <v>0007280056</v>
      </c>
      <c r="C2965" s="5" t="str">
        <f>"396362"</f>
        <v>396362</v>
      </c>
      <c r="D2965" s="12" t="s">
        <v>813</v>
      </c>
      <c r="E2965" s="14" t="s">
        <v>82</v>
      </c>
      <c r="F2965" s="12" t="s">
        <v>73</v>
      </c>
      <c r="G2965" s="15">
        <v>56</v>
      </c>
      <c r="H2965" s="12" t="s">
        <v>809</v>
      </c>
      <c r="I2965" s="12" t="s">
        <v>710</v>
      </c>
      <c r="K2965" s="16">
        <v>57.85</v>
      </c>
      <c r="L2965" s="16">
        <v>85.64</v>
      </c>
      <c r="M2965" s="16">
        <v>82.18</v>
      </c>
    </row>
    <row r="2966" spans="2:13" ht="22.5" outlineLevel="3" x14ac:dyDescent="0.2">
      <c r="B2966" s="4" t="str">
        <f>"0007280056"</f>
        <v>0007280056</v>
      </c>
      <c r="C2966" s="5" t="str">
        <f>"587065"</f>
        <v>587065</v>
      </c>
      <c r="D2966" s="12" t="s">
        <v>811</v>
      </c>
      <c r="E2966" s="14" t="s">
        <v>82</v>
      </c>
      <c r="F2966" s="12" t="s">
        <v>73</v>
      </c>
      <c r="G2966" s="15" t="s">
        <v>814</v>
      </c>
      <c r="H2966" s="12" t="s">
        <v>809</v>
      </c>
      <c r="I2966" s="12" t="s">
        <v>79</v>
      </c>
      <c r="K2966" s="16">
        <v>53.88</v>
      </c>
      <c r="L2966" s="16">
        <v>80.180000000000007</v>
      </c>
      <c r="M2966" s="16">
        <v>82.18</v>
      </c>
    </row>
    <row r="2967" spans="2:13" outlineLevel="2" x14ac:dyDescent="0.2"/>
    <row r="2968" spans="2:13" ht="33.75" outlineLevel="3" x14ac:dyDescent="0.2">
      <c r="B2968" s="4" t="str">
        <f t="shared" ref="B2968:B2974" si="93">"0007290030"</f>
        <v>0007290030</v>
      </c>
      <c r="C2968" s="5" t="str">
        <f>"011118"</f>
        <v>011118</v>
      </c>
      <c r="D2968" s="12" t="s">
        <v>815</v>
      </c>
      <c r="E2968" s="14" t="s">
        <v>25</v>
      </c>
      <c r="F2968" s="12" t="s">
        <v>73</v>
      </c>
      <c r="G2968" s="15">
        <v>28</v>
      </c>
      <c r="H2968" s="12" t="s">
        <v>809</v>
      </c>
      <c r="I2968" s="12" t="s">
        <v>816</v>
      </c>
      <c r="K2968" s="16">
        <v>43.49</v>
      </c>
      <c r="L2968" s="16">
        <v>65.59</v>
      </c>
      <c r="M2968" s="16">
        <v>59.22</v>
      </c>
    </row>
    <row r="2969" spans="2:13" outlineLevel="3" x14ac:dyDescent="0.2">
      <c r="B2969" s="4" t="str">
        <f t="shared" si="93"/>
        <v>0007290030</v>
      </c>
      <c r="C2969" s="5" t="str">
        <f>"123435"</f>
        <v>123435</v>
      </c>
      <c r="D2969" s="12" t="s">
        <v>810</v>
      </c>
      <c r="E2969" s="14" t="s">
        <v>25</v>
      </c>
      <c r="F2969" s="12" t="s">
        <v>73</v>
      </c>
      <c r="G2969" s="15">
        <v>28</v>
      </c>
      <c r="H2969" s="12" t="s">
        <v>809</v>
      </c>
      <c r="I2969" s="12" t="s">
        <v>30</v>
      </c>
      <c r="K2969" s="16">
        <v>43.49</v>
      </c>
      <c r="L2969" s="16">
        <v>65.59</v>
      </c>
      <c r="M2969" s="16">
        <v>59.22</v>
      </c>
    </row>
    <row r="2970" spans="2:13" outlineLevel="3" x14ac:dyDescent="0.2">
      <c r="B2970" s="4" t="str">
        <f t="shared" si="93"/>
        <v>0007290030</v>
      </c>
      <c r="C2970" s="5" t="str">
        <f>"420816"</f>
        <v>420816</v>
      </c>
      <c r="D2970" s="12" t="s">
        <v>808</v>
      </c>
      <c r="E2970" s="14" t="s">
        <v>25</v>
      </c>
      <c r="F2970" s="12" t="s">
        <v>73</v>
      </c>
      <c r="G2970" s="15">
        <v>28</v>
      </c>
      <c r="H2970" s="12" t="s">
        <v>809</v>
      </c>
      <c r="I2970" s="12" t="s">
        <v>5</v>
      </c>
      <c r="K2970" s="16">
        <v>43.49</v>
      </c>
      <c r="L2970" s="16">
        <v>65.59</v>
      </c>
      <c r="M2970" s="16">
        <v>59.22</v>
      </c>
    </row>
    <row r="2971" spans="2:13" outlineLevel="3" x14ac:dyDescent="0.2">
      <c r="B2971" s="4" t="str">
        <f t="shared" si="93"/>
        <v>0007290030</v>
      </c>
      <c r="C2971" s="5" t="str">
        <f>"477568"</f>
        <v>477568</v>
      </c>
      <c r="D2971" s="12" t="s">
        <v>817</v>
      </c>
      <c r="E2971" s="14" t="s">
        <v>25</v>
      </c>
      <c r="F2971" s="12" t="s">
        <v>73</v>
      </c>
      <c r="G2971" s="15">
        <v>30</v>
      </c>
      <c r="H2971" s="12" t="s">
        <v>809</v>
      </c>
      <c r="I2971" s="12" t="s">
        <v>124</v>
      </c>
      <c r="K2971" s="16">
        <v>43.49</v>
      </c>
      <c r="L2971" s="16">
        <v>65.59</v>
      </c>
      <c r="M2971" s="16">
        <v>59.22</v>
      </c>
    </row>
    <row r="2972" spans="2:13" ht="22.5" outlineLevel="3" x14ac:dyDescent="0.2">
      <c r="B2972" s="4" t="str">
        <f t="shared" si="93"/>
        <v>0007290030</v>
      </c>
      <c r="C2972" s="5" t="str">
        <f>"539830"</f>
        <v>539830</v>
      </c>
      <c r="D2972" s="12" t="s">
        <v>818</v>
      </c>
      <c r="E2972" s="14" t="s">
        <v>25</v>
      </c>
      <c r="F2972" s="12" t="s">
        <v>73</v>
      </c>
      <c r="G2972" s="15">
        <v>28</v>
      </c>
      <c r="H2972" s="12" t="s">
        <v>809</v>
      </c>
      <c r="I2972" s="12" t="s">
        <v>68</v>
      </c>
      <c r="K2972" s="16">
        <v>43.49</v>
      </c>
      <c r="L2972" s="16">
        <v>65.59</v>
      </c>
      <c r="M2972" s="16">
        <v>59.22</v>
      </c>
    </row>
    <row r="2973" spans="2:13" ht="22.5" outlineLevel="3" x14ac:dyDescent="0.2">
      <c r="B2973" s="4" t="str">
        <f t="shared" si="93"/>
        <v>0007290030</v>
      </c>
      <c r="C2973" s="5" t="str">
        <f>"068035"</f>
        <v>068035</v>
      </c>
      <c r="D2973" s="12" t="s">
        <v>811</v>
      </c>
      <c r="E2973" s="14" t="s">
        <v>25</v>
      </c>
      <c r="F2973" s="12" t="s">
        <v>73</v>
      </c>
      <c r="G2973" s="15" t="s">
        <v>812</v>
      </c>
      <c r="H2973" s="12" t="s">
        <v>809</v>
      </c>
      <c r="I2973" s="12" t="s">
        <v>79</v>
      </c>
      <c r="K2973" s="16">
        <v>42.24</v>
      </c>
      <c r="L2973" s="16">
        <v>63.73</v>
      </c>
      <c r="M2973" s="16">
        <v>59.22</v>
      </c>
    </row>
    <row r="2974" spans="2:13" ht="22.5" outlineLevel="3" x14ac:dyDescent="0.2">
      <c r="B2974" s="4" t="str">
        <f t="shared" si="93"/>
        <v>0007290030</v>
      </c>
      <c r="C2974" s="5" t="str">
        <f>"072209"</f>
        <v>072209</v>
      </c>
      <c r="D2974" s="12" t="s">
        <v>813</v>
      </c>
      <c r="E2974" s="14" t="s">
        <v>25</v>
      </c>
      <c r="F2974" s="12" t="s">
        <v>73</v>
      </c>
      <c r="G2974" s="15">
        <v>28</v>
      </c>
      <c r="H2974" s="12" t="s">
        <v>809</v>
      </c>
      <c r="I2974" s="12" t="s">
        <v>710</v>
      </c>
      <c r="K2974" s="16">
        <v>37.85</v>
      </c>
      <c r="L2974" s="16">
        <v>57.22</v>
      </c>
      <c r="M2974" s="16">
        <v>59.22</v>
      </c>
    </row>
    <row r="2975" spans="2:13" outlineLevel="2" x14ac:dyDescent="0.2"/>
    <row r="2976" spans="2:13" ht="33.75" outlineLevel="3" x14ac:dyDescent="0.2">
      <c r="B2976" s="4" t="str">
        <f t="shared" ref="B2976:B2983" si="94">"0007290056"</f>
        <v>0007290056</v>
      </c>
      <c r="C2976" s="5" t="str">
        <f>"011186"</f>
        <v>011186</v>
      </c>
      <c r="D2976" s="12" t="s">
        <v>815</v>
      </c>
      <c r="E2976" s="14" t="s">
        <v>25</v>
      </c>
      <c r="F2976" s="12" t="s">
        <v>73</v>
      </c>
      <c r="G2976" s="15">
        <v>56</v>
      </c>
      <c r="H2976" s="12" t="s">
        <v>809</v>
      </c>
      <c r="I2976" s="12" t="s">
        <v>816</v>
      </c>
      <c r="K2976" s="16">
        <v>38.68</v>
      </c>
      <c r="L2976" s="16">
        <v>58.45</v>
      </c>
      <c r="M2976" s="16">
        <v>50.02</v>
      </c>
    </row>
    <row r="2977" spans="2:13" outlineLevel="3" x14ac:dyDescent="0.2">
      <c r="B2977" s="4" t="str">
        <f t="shared" si="94"/>
        <v>0007290056</v>
      </c>
      <c r="C2977" s="5" t="str">
        <f>"088445"</f>
        <v>088445</v>
      </c>
      <c r="D2977" s="12" t="s">
        <v>810</v>
      </c>
      <c r="E2977" s="14" t="s">
        <v>25</v>
      </c>
      <c r="F2977" s="12" t="s">
        <v>73</v>
      </c>
      <c r="G2977" s="15">
        <v>56</v>
      </c>
      <c r="H2977" s="12" t="s">
        <v>809</v>
      </c>
      <c r="I2977" s="12" t="s">
        <v>30</v>
      </c>
      <c r="K2977" s="16">
        <v>38.68</v>
      </c>
      <c r="L2977" s="16">
        <v>58.45</v>
      </c>
      <c r="M2977" s="16">
        <v>50.02</v>
      </c>
    </row>
    <row r="2978" spans="2:13" outlineLevel="3" x14ac:dyDescent="0.2">
      <c r="B2978" s="4" t="str">
        <f t="shared" si="94"/>
        <v>0007290056</v>
      </c>
      <c r="C2978" s="5" t="str">
        <f>"172225"</f>
        <v>172225</v>
      </c>
      <c r="D2978" s="12" t="s">
        <v>819</v>
      </c>
      <c r="E2978" s="14" t="s">
        <v>25</v>
      </c>
      <c r="F2978" s="12" t="s">
        <v>73</v>
      </c>
      <c r="G2978" s="15">
        <v>56</v>
      </c>
      <c r="H2978" s="12" t="s">
        <v>809</v>
      </c>
      <c r="I2978" s="12" t="s">
        <v>355</v>
      </c>
      <c r="K2978" s="16">
        <v>38.68</v>
      </c>
      <c r="L2978" s="16">
        <v>58.45</v>
      </c>
      <c r="M2978" s="16">
        <v>50.02</v>
      </c>
    </row>
    <row r="2979" spans="2:13" ht="22.5" outlineLevel="3" x14ac:dyDescent="0.2">
      <c r="B2979" s="4" t="str">
        <f t="shared" si="94"/>
        <v>0007290056</v>
      </c>
      <c r="C2979" s="5" t="str">
        <f>"458093"</f>
        <v>458093</v>
      </c>
      <c r="D2979" s="12" t="s">
        <v>818</v>
      </c>
      <c r="E2979" s="14" t="s">
        <v>25</v>
      </c>
      <c r="F2979" s="12" t="s">
        <v>73</v>
      </c>
      <c r="G2979" s="15">
        <v>56</v>
      </c>
      <c r="H2979" s="12" t="s">
        <v>809</v>
      </c>
      <c r="I2979" s="12" t="s">
        <v>68</v>
      </c>
      <c r="K2979" s="16">
        <v>38.68</v>
      </c>
      <c r="L2979" s="16">
        <v>58.45</v>
      </c>
      <c r="M2979" s="16">
        <v>50.02</v>
      </c>
    </row>
    <row r="2980" spans="2:13" outlineLevel="3" x14ac:dyDescent="0.2">
      <c r="B2980" s="4" t="str">
        <f t="shared" si="94"/>
        <v>0007290056</v>
      </c>
      <c r="C2980" s="5" t="str">
        <f>"568945"</f>
        <v>568945</v>
      </c>
      <c r="D2980" s="12" t="s">
        <v>808</v>
      </c>
      <c r="E2980" s="14" t="s">
        <v>25</v>
      </c>
      <c r="F2980" s="12" t="s">
        <v>73</v>
      </c>
      <c r="G2980" s="15">
        <v>56</v>
      </c>
      <c r="H2980" s="12" t="s">
        <v>809</v>
      </c>
      <c r="I2980" s="12" t="s">
        <v>5</v>
      </c>
      <c r="K2980" s="16">
        <v>38.68</v>
      </c>
      <c r="L2980" s="16">
        <v>58.45</v>
      </c>
      <c r="M2980" s="16">
        <v>50.02</v>
      </c>
    </row>
    <row r="2981" spans="2:13" outlineLevel="3" x14ac:dyDescent="0.2">
      <c r="B2981" s="4" t="str">
        <f t="shared" si="94"/>
        <v>0007290056</v>
      </c>
      <c r="C2981" s="5" t="str">
        <f>"036637"</f>
        <v>036637</v>
      </c>
      <c r="D2981" s="12" t="s">
        <v>817</v>
      </c>
      <c r="E2981" s="14" t="s">
        <v>25</v>
      </c>
      <c r="F2981" s="12" t="s">
        <v>73</v>
      </c>
      <c r="G2981" s="15">
        <v>56</v>
      </c>
      <c r="H2981" s="12" t="s">
        <v>809</v>
      </c>
      <c r="I2981" s="12" t="s">
        <v>124</v>
      </c>
      <c r="K2981" s="16">
        <v>38.67</v>
      </c>
      <c r="L2981" s="16">
        <v>58.43</v>
      </c>
      <c r="M2981" s="16">
        <v>50.02</v>
      </c>
    </row>
    <row r="2982" spans="2:13" ht="22.5" outlineLevel="3" x14ac:dyDescent="0.2">
      <c r="B2982" s="4" t="str">
        <f t="shared" si="94"/>
        <v>0007290056</v>
      </c>
      <c r="C2982" s="5" t="str">
        <f>"183059"</f>
        <v>183059</v>
      </c>
      <c r="D2982" s="12" t="s">
        <v>811</v>
      </c>
      <c r="E2982" s="14" t="s">
        <v>25</v>
      </c>
      <c r="F2982" s="12" t="s">
        <v>73</v>
      </c>
      <c r="G2982" s="15">
        <v>56</v>
      </c>
      <c r="H2982" s="12" t="s">
        <v>809</v>
      </c>
      <c r="I2982" s="12" t="s">
        <v>79</v>
      </c>
      <c r="K2982" s="16">
        <v>33.450000000000003</v>
      </c>
      <c r="L2982" s="16">
        <v>50.69</v>
      </c>
      <c r="M2982" s="16">
        <v>50.02</v>
      </c>
    </row>
    <row r="2983" spans="2:13" ht="22.5" outlineLevel="3" x14ac:dyDescent="0.2">
      <c r="B2983" s="4" t="str">
        <f t="shared" si="94"/>
        <v>0007290056</v>
      </c>
      <c r="C2983" s="5" t="str">
        <f>"105533"</f>
        <v>105533</v>
      </c>
      <c r="D2983" s="12" t="s">
        <v>813</v>
      </c>
      <c r="E2983" s="14" t="s">
        <v>25</v>
      </c>
      <c r="F2983" s="12" t="s">
        <v>73</v>
      </c>
      <c r="G2983" s="15">
        <v>56</v>
      </c>
      <c r="H2983" s="12" t="s">
        <v>809</v>
      </c>
      <c r="I2983" s="12" t="s">
        <v>710</v>
      </c>
      <c r="K2983" s="16">
        <v>31.65</v>
      </c>
      <c r="L2983" s="16">
        <v>48.02</v>
      </c>
      <c r="M2983" s="16">
        <v>50.02</v>
      </c>
    </row>
    <row r="2984" spans="2:13" outlineLevel="3" x14ac:dyDescent="0.2">
      <c r="B2984" s="4" t="str">
        <f>"0007290100"</f>
        <v>0007290100</v>
      </c>
      <c r="C2984" s="5" t="str">
        <f>"063028"</f>
        <v>063028</v>
      </c>
      <c r="D2984" s="12" t="s">
        <v>817</v>
      </c>
      <c r="E2984" s="14" t="s">
        <v>25</v>
      </c>
      <c r="F2984" s="12" t="s">
        <v>73</v>
      </c>
      <c r="G2984" s="15" t="s">
        <v>820</v>
      </c>
      <c r="H2984" s="12" t="s">
        <v>809</v>
      </c>
      <c r="I2984" s="12" t="s">
        <v>124</v>
      </c>
      <c r="K2984" s="16">
        <v>99.77</v>
      </c>
      <c r="L2984" s="16">
        <v>143.28</v>
      </c>
      <c r="M2984" s="16">
        <v>145.28</v>
      </c>
    </row>
    <row r="2985" spans="2:13" ht="22.5" outlineLevel="3" x14ac:dyDescent="0.2">
      <c r="B2985" s="4" t="str">
        <f>"0007290100"</f>
        <v>0007290100</v>
      </c>
      <c r="C2985" s="5" t="str">
        <f>"564251"</f>
        <v>564251</v>
      </c>
      <c r="D2985" s="12" t="s">
        <v>818</v>
      </c>
      <c r="E2985" s="14" t="s">
        <v>25</v>
      </c>
      <c r="F2985" s="12" t="s">
        <v>73</v>
      </c>
      <c r="G2985" s="15">
        <v>100</v>
      </c>
      <c r="H2985" s="12" t="s">
        <v>809</v>
      </c>
      <c r="I2985" s="12" t="s">
        <v>68</v>
      </c>
      <c r="K2985" s="16">
        <v>99.77</v>
      </c>
      <c r="L2985" s="16">
        <v>143.28</v>
      </c>
      <c r="M2985" s="16">
        <v>145.28</v>
      </c>
    </row>
    <row r="2986" spans="2:13" outlineLevel="2" x14ac:dyDescent="0.2"/>
    <row r="2987" spans="2:13" ht="22.5" outlineLevel="3" x14ac:dyDescent="0.2">
      <c r="B2987" s="4" t="str">
        <f>"0007300030"</f>
        <v>0007300030</v>
      </c>
      <c r="C2987" s="5" t="str">
        <f>"145932"</f>
        <v>145932</v>
      </c>
      <c r="D2987" s="12" t="s">
        <v>813</v>
      </c>
      <c r="E2987" s="14" t="s">
        <v>31</v>
      </c>
      <c r="F2987" s="12" t="s">
        <v>73</v>
      </c>
      <c r="G2987" s="15">
        <v>28</v>
      </c>
      <c r="H2987" s="12" t="s">
        <v>809</v>
      </c>
      <c r="I2987" s="12" t="s">
        <v>710</v>
      </c>
      <c r="K2987" s="16">
        <v>73.97</v>
      </c>
      <c r="L2987" s="16">
        <v>107.8</v>
      </c>
      <c r="M2987" s="16">
        <v>109.8</v>
      </c>
    </row>
    <row r="2988" spans="2:13" outlineLevel="2" x14ac:dyDescent="0.2"/>
    <row r="2989" spans="2:13" ht="33.75" outlineLevel="3" x14ac:dyDescent="0.2">
      <c r="B2989" s="4" t="str">
        <f t="shared" ref="B2989:B2996" si="95">"0007300056"</f>
        <v>0007300056</v>
      </c>
      <c r="C2989" s="5" t="str">
        <f>"011195"</f>
        <v>011195</v>
      </c>
      <c r="D2989" s="12" t="s">
        <v>815</v>
      </c>
      <c r="E2989" s="14" t="s">
        <v>31</v>
      </c>
      <c r="F2989" s="12" t="s">
        <v>73</v>
      </c>
      <c r="G2989" s="15">
        <v>56</v>
      </c>
      <c r="H2989" s="12" t="s">
        <v>809</v>
      </c>
      <c r="I2989" s="12" t="s">
        <v>816</v>
      </c>
      <c r="K2989" s="16">
        <v>88.62</v>
      </c>
      <c r="L2989" s="16">
        <v>127.95</v>
      </c>
      <c r="M2989" s="16">
        <v>110.05</v>
      </c>
    </row>
    <row r="2990" spans="2:13" outlineLevel="3" x14ac:dyDescent="0.2">
      <c r="B2990" s="4" t="str">
        <f t="shared" si="95"/>
        <v>0007300056</v>
      </c>
      <c r="C2990" s="5" t="str">
        <f>"113143"</f>
        <v>113143</v>
      </c>
      <c r="D2990" s="12" t="s">
        <v>810</v>
      </c>
      <c r="E2990" s="14" t="s">
        <v>31</v>
      </c>
      <c r="F2990" s="12" t="s">
        <v>73</v>
      </c>
      <c r="G2990" s="15">
        <v>56</v>
      </c>
      <c r="H2990" s="12" t="s">
        <v>809</v>
      </c>
      <c r="I2990" s="12" t="s">
        <v>30</v>
      </c>
      <c r="K2990" s="16">
        <v>88.62</v>
      </c>
      <c r="L2990" s="16">
        <v>127.95</v>
      </c>
      <c r="M2990" s="16">
        <v>110.05</v>
      </c>
    </row>
    <row r="2991" spans="2:13" outlineLevel="3" x14ac:dyDescent="0.2">
      <c r="B2991" s="4" t="str">
        <f t="shared" si="95"/>
        <v>0007300056</v>
      </c>
      <c r="C2991" s="5" t="str">
        <f>"153560"</f>
        <v>153560</v>
      </c>
      <c r="D2991" s="12" t="s">
        <v>808</v>
      </c>
      <c r="E2991" s="14" t="s">
        <v>31</v>
      </c>
      <c r="F2991" s="12" t="s">
        <v>73</v>
      </c>
      <c r="G2991" s="15">
        <v>56</v>
      </c>
      <c r="H2991" s="12" t="s">
        <v>809</v>
      </c>
      <c r="I2991" s="12" t="s">
        <v>5</v>
      </c>
      <c r="K2991" s="16">
        <v>88.62</v>
      </c>
      <c r="L2991" s="16">
        <v>127.95</v>
      </c>
      <c r="M2991" s="16">
        <v>110.05</v>
      </c>
    </row>
    <row r="2992" spans="2:13" outlineLevel="3" x14ac:dyDescent="0.2">
      <c r="B2992" s="4" t="str">
        <f t="shared" si="95"/>
        <v>0007300056</v>
      </c>
      <c r="C2992" s="5" t="str">
        <f>"413841"</f>
        <v>413841</v>
      </c>
      <c r="D2992" s="12" t="s">
        <v>817</v>
      </c>
      <c r="E2992" s="14" t="s">
        <v>31</v>
      </c>
      <c r="F2992" s="12" t="s">
        <v>73</v>
      </c>
      <c r="G2992" s="15">
        <v>56</v>
      </c>
      <c r="H2992" s="12" t="s">
        <v>809</v>
      </c>
      <c r="I2992" s="12" t="s">
        <v>124</v>
      </c>
      <c r="K2992" s="16">
        <v>88.62</v>
      </c>
      <c r="L2992" s="16">
        <v>127.95</v>
      </c>
      <c r="M2992" s="16">
        <v>110.05</v>
      </c>
    </row>
    <row r="2993" spans="1:13" ht="22.5" outlineLevel="3" x14ac:dyDescent="0.2">
      <c r="B2993" s="4" t="str">
        <f t="shared" si="95"/>
        <v>0007300056</v>
      </c>
      <c r="C2993" s="5" t="str">
        <f>"512094"</f>
        <v>512094</v>
      </c>
      <c r="D2993" s="12" t="s">
        <v>818</v>
      </c>
      <c r="E2993" s="14" t="s">
        <v>31</v>
      </c>
      <c r="F2993" s="12" t="s">
        <v>73</v>
      </c>
      <c r="G2993" s="15">
        <v>56</v>
      </c>
      <c r="H2993" s="12" t="s">
        <v>809</v>
      </c>
      <c r="I2993" s="12" t="s">
        <v>68</v>
      </c>
      <c r="K2993" s="16">
        <v>88.62</v>
      </c>
      <c r="L2993" s="16">
        <v>127.95</v>
      </c>
      <c r="M2993" s="16">
        <v>110.05</v>
      </c>
    </row>
    <row r="2994" spans="1:13" outlineLevel="3" x14ac:dyDescent="0.2">
      <c r="B2994" s="4" t="str">
        <f t="shared" si="95"/>
        <v>0007300056</v>
      </c>
      <c r="C2994" s="5" t="str">
        <f>"569205"</f>
        <v>569205</v>
      </c>
      <c r="D2994" s="12" t="s">
        <v>819</v>
      </c>
      <c r="E2994" s="14" t="s">
        <v>31</v>
      </c>
      <c r="F2994" s="12" t="s">
        <v>73</v>
      </c>
      <c r="G2994" s="15">
        <v>56</v>
      </c>
      <c r="H2994" s="12" t="s">
        <v>809</v>
      </c>
      <c r="I2994" s="12" t="s">
        <v>355</v>
      </c>
      <c r="K2994" s="16">
        <v>88.62</v>
      </c>
      <c r="L2994" s="16">
        <v>127.95</v>
      </c>
      <c r="M2994" s="16">
        <v>110.05</v>
      </c>
    </row>
    <row r="2995" spans="1:13" ht="22.5" outlineLevel="3" x14ac:dyDescent="0.2">
      <c r="B2995" s="4" t="str">
        <f t="shared" si="95"/>
        <v>0007300056</v>
      </c>
      <c r="C2995" s="5" t="str">
        <f>"397508"</f>
        <v>397508</v>
      </c>
      <c r="D2995" s="12" t="s">
        <v>811</v>
      </c>
      <c r="E2995" s="14" t="s">
        <v>31</v>
      </c>
      <c r="F2995" s="12" t="s">
        <v>73</v>
      </c>
      <c r="G2995" s="15" t="s">
        <v>814</v>
      </c>
      <c r="H2995" s="12" t="s">
        <v>809</v>
      </c>
      <c r="I2995" s="12" t="s">
        <v>79</v>
      </c>
      <c r="K2995" s="16">
        <v>83.22</v>
      </c>
      <c r="L2995" s="16">
        <v>120.53</v>
      </c>
      <c r="M2995" s="16">
        <v>110.05</v>
      </c>
    </row>
    <row r="2996" spans="1:13" ht="22.5" outlineLevel="3" x14ac:dyDescent="0.2">
      <c r="B2996" s="4" t="str">
        <f t="shared" si="95"/>
        <v>0007300056</v>
      </c>
      <c r="C2996" s="5" t="str">
        <f>"197123"</f>
        <v>197123</v>
      </c>
      <c r="D2996" s="12" t="s">
        <v>813</v>
      </c>
      <c r="E2996" s="14" t="s">
        <v>31</v>
      </c>
      <c r="F2996" s="12" t="s">
        <v>73</v>
      </c>
      <c r="G2996" s="15">
        <v>56</v>
      </c>
      <c r="H2996" s="12" t="s">
        <v>809</v>
      </c>
      <c r="I2996" s="12" t="s">
        <v>710</v>
      </c>
      <c r="K2996" s="16">
        <v>74.150000000000006</v>
      </c>
      <c r="L2996" s="16">
        <v>108.05</v>
      </c>
      <c r="M2996" s="16">
        <v>110.05</v>
      </c>
    </row>
    <row r="2997" spans="1:13" outlineLevel="2" x14ac:dyDescent="0.2"/>
    <row r="2998" spans="1:13" outlineLevel="3" x14ac:dyDescent="0.2">
      <c r="B2998" s="4" t="str">
        <f>"0007300100"</f>
        <v>0007300100</v>
      </c>
      <c r="C2998" s="5" t="str">
        <f>"181312"</f>
        <v>181312</v>
      </c>
      <c r="D2998" s="12" t="s">
        <v>817</v>
      </c>
      <c r="E2998" s="14" t="s">
        <v>31</v>
      </c>
      <c r="F2998" s="12" t="s">
        <v>73</v>
      </c>
      <c r="G2998" s="15" t="s">
        <v>820</v>
      </c>
      <c r="H2998" s="12" t="s">
        <v>809</v>
      </c>
      <c r="I2998" s="12" t="s">
        <v>124</v>
      </c>
      <c r="K2998" s="16">
        <v>192.43</v>
      </c>
      <c r="L2998" s="16">
        <v>260.61</v>
      </c>
      <c r="M2998" s="16">
        <v>262.61</v>
      </c>
    </row>
    <row r="2999" spans="1:13" ht="22.5" outlineLevel="3" x14ac:dyDescent="0.2">
      <c r="B2999" s="4" t="str">
        <f>"0007300100"</f>
        <v>0007300100</v>
      </c>
      <c r="C2999" s="5" t="str">
        <f>"552033"</f>
        <v>552033</v>
      </c>
      <c r="D2999" s="12" t="s">
        <v>818</v>
      </c>
      <c r="E2999" s="14" t="s">
        <v>31</v>
      </c>
      <c r="F2999" s="12" t="s">
        <v>73</v>
      </c>
      <c r="G2999" s="15">
        <v>100</v>
      </c>
      <c r="H2999" s="12" t="s">
        <v>809</v>
      </c>
      <c r="I2999" s="12" t="s">
        <v>68</v>
      </c>
      <c r="K2999" s="16">
        <v>192.43</v>
      </c>
      <c r="L2999" s="16">
        <v>260.61</v>
      </c>
      <c r="M2999" s="16">
        <v>262.61</v>
      </c>
    </row>
    <row r="3000" spans="1:13" outlineLevel="2" x14ac:dyDescent="0.2"/>
    <row r="3001" spans="1:13" outlineLevel="3" x14ac:dyDescent="0.2">
      <c r="B3001" s="4" t="str">
        <f>"0007310030"</f>
        <v>0007310030</v>
      </c>
      <c r="C3001" s="5" t="str">
        <f>"105522"</f>
        <v>105522</v>
      </c>
      <c r="D3001" s="12" t="s">
        <v>808</v>
      </c>
      <c r="E3001" s="14" t="s">
        <v>111</v>
      </c>
      <c r="F3001" s="12" t="s">
        <v>73</v>
      </c>
      <c r="G3001" s="15">
        <v>28</v>
      </c>
      <c r="H3001" s="12" t="s">
        <v>809</v>
      </c>
      <c r="I3001" s="12" t="s">
        <v>5</v>
      </c>
      <c r="K3001" s="16">
        <v>18.16</v>
      </c>
      <c r="L3001" s="16">
        <v>27.98</v>
      </c>
      <c r="M3001" s="16">
        <v>23.38</v>
      </c>
    </row>
    <row r="3002" spans="1:13" outlineLevel="3" x14ac:dyDescent="0.2">
      <c r="B3002" s="4" t="str">
        <f>"0007310030"</f>
        <v>0007310030</v>
      </c>
      <c r="C3002" s="5" t="str">
        <f>"184731"</f>
        <v>184731</v>
      </c>
      <c r="D3002" s="12" t="s">
        <v>810</v>
      </c>
      <c r="E3002" s="14" t="s">
        <v>111</v>
      </c>
      <c r="F3002" s="12" t="s">
        <v>73</v>
      </c>
      <c r="G3002" s="15">
        <v>28</v>
      </c>
      <c r="H3002" s="12" t="s">
        <v>809</v>
      </c>
      <c r="I3002" s="12" t="s">
        <v>30</v>
      </c>
      <c r="K3002" s="16">
        <v>18.16</v>
      </c>
      <c r="L3002" s="16">
        <v>27.98</v>
      </c>
      <c r="M3002" s="16">
        <v>23.38</v>
      </c>
    </row>
    <row r="3003" spans="1:13" ht="22.5" outlineLevel="3" x14ac:dyDescent="0.2">
      <c r="B3003" s="4" t="str">
        <f>"0007310030"</f>
        <v>0007310030</v>
      </c>
      <c r="C3003" s="5" t="str">
        <f>"037768"</f>
        <v>037768</v>
      </c>
      <c r="D3003" s="12" t="s">
        <v>813</v>
      </c>
      <c r="E3003" s="14" t="s">
        <v>111</v>
      </c>
      <c r="F3003" s="12" t="s">
        <v>73</v>
      </c>
      <c r="G3003" s="15">
        <v>28</v>
      </c>
      <c r="H3003" s="12" t="s">
        <v>809</v>
      </c>
      <c r="I3003" s="12" t="s">
        <v>710</v>
      </c>
      <c r="K3003" s="16">
        <v>15.75</v>
      </c>
      <c r="L3003" s="16">
        <v>24.4</v>
      </c>
      <c r="M3003" s="16">
        <v>23.38</v>
      </c>
    </row>
    <row r="3004" spans="1:13" ht="22.5" outlineLevel="3" x14ac:dyDescent="0.2">
      <c r="B3004" s="4" t="str">
        <f>"0007310030"</f>
        <v>0007310030</v>
      </c>
      <c r="C3004" s="5" t="str">
        <f>"555881"</f>
        <v>555881</v>
      </c>
      <c r="D3004" s="12" t="s">
        <v>811</v>
      </c>
      <c r="E3004" s="14" t="s">
        <v>111</v>
      </c>
      <c r="F3004" s="12" t="s">
        <v>73</v>
      </c>
      <c r="G3004" s="15" t="s">
        <v>812</v>
      </c>
      <c r="H3004" s="12" t="s">
        <v>809</v>
      </c>
      <c r="I3004" s="12" t="s">
        <v>79</v>
      </c>
      <c r="K3004" s="16">
        <v>14.05</v>
      </c>
      <c r="L3004" s="16">
        <v>21.88</v>
      </c>
      <c r="M3004" s="16">
        <v>23.38</v>
      </c>
    </row>
    <row r="3005" spans="1:13" outlineLevel="2" x14ac:dyDescent="0.2"/>
    <row r="3006" spans="1:13" ht="22.5" outlineLevel="3" x14ac:dyDescent="0.2">
      <c r="B3006" s="4" t="str">
        <f>"0007310056"</f>
        <v>0007310056</v>
      </c>
      <c r="C3006" s="5" t="str">
        <f>"440405"</f>
        <v>440405</v>
      </c>
      <c r="D3006" s="12" t="s">
        <v>813</v>
      </c>
      <c r="E3006" s="14" t="s">
        <v>111</v>
      </c>
      <c r="F3006" s="12" t="s">
        <v>73</v>
      </c>
      <c r="G3006" s="15">
        <v>56</v>
      </c>
      <c r="H3006" s="12" t="s">
        <v>809</v>
      </c>
      <c r="I3006" s="12" t="s">
        <v>710</v>
      </c>
      <c r="K3006" s="16">
        <v>37</v>
      </c>
      <c r="L3006" s="16">
        <v>55.96</v>
      </c>
      <c r="M3006" s="16">
        <v>57.96</v>
      </c>
    </row>
    <row r="3007" spans="1:13" outlineLevel="1" x14ac:dyDescent="0.2">
      <c r="A3007" s="3"/>
    </row>
    <row r="3008" spans="1:13" outlineLevel="2" x14ac:dyDescent="0.2">
      <c r="A3008" s="3" t="s">
        <v>1559</v>
      </c>
    </row>
    <row r="3009" spans="1:13" outlineLevel="3" x14ac:dyDescent="0.2">
      <c r="B3009" s="4" t="str">
        <f>"0003550030"</f>
        <v>0003550030</v>
      </c>
      <c r="C3009" s="5" t="str">
        <f>"117275"</f>
        <v>117275</v>
      </c>
      <c r="D3009" s="12" t="s">
        <v>453</v>
      </c>
      <c r="E3009" s="14" t="s">
        <v>82</v>
      </c>
      <c r="F3009" s="12" t="s">
        <v>73</v>
      </c>
      <c r="G3009" s="15">
        <v>30</v>
      </c>
      <c r="H3009" s="12" t="s">
        <v>454</v>
      </c>
      <c r="I3009" s="12" t="s">
        <v>5</v>
      </c>
      <c r="K3009" s="16">
        <v>1.94</v>
      </c>
      <c r="L3009" s="16">
        <v>3.09</v>
      </c>
      <c r="M3009" s="16">
        <v>4.59</v>
      </c>
    </row>
    <row r="3010" spans="1:13" outlineLevel="2" x14ac:dyDescent="0.2"/>
    <row r="3011" spans="1:13" outlineLevel="3" x14ac:dyDescent="0.2">
      <c r="B3011" s="4" t="str">
        <f>"0003550100"</f>
        <v>0003550100</v>
      </c>
      <c r="C3011" s="5" t="str">
        <f>"160226"</f>
        <v>160226</v>
      </c>
      <c r="D3011" s="12" t="s">
        <v>455</v>
      </c>
      <c r="E3011" s="14" t="s">
        <v>82</v>
      </c>
      <c r="F3011" s="12" t="s">
        <v>73</v>
      </c>
      <c r="G3011" s="15">
        <v>100</v>
      </c>
      <c r="H3011" s="12" t="s">
        <v>454</v>
      </c>
      <c r="I3011" s="12" t="s">
        <v>247</v>
      </c>
      <c r="K3011" s="16">
        <v>5.88</v>
      </c>
      <c r="L3011" s="16">
        <v>9.3800000000000008</v>
      </c>
      <c r="M3011" s="16">
        <v>9.94</v>
      </c>
    </row>
    <row r="3012" spans="1:13" outlineLevel="3" x14ac:dyDescent="0.2">
      <c r="B3012" s="4" t="str">
        <f>"0003550100"</f>
        <v>0003550100</v>
      </c>
      <c r="C3012" s="5" t="str">
        <f>"470039"</f>
        <v>470039</v>
      </c>
      <c r="D3012" s="12" t="s">
        <v>456</v>
      </c>
      <c r="E3012" s="14" t="s">
        <v>82</v>
      </c>
      <c r="F3012" s="12" t="s">
        <v>73</v>
      </c>
      <c r="G3012" s="15">
        <v>100</v>
      </c>
      <c r="H3012" s="12" t="s">
        <v>454</v>
      </c>
      <c r="I3012" s="12" t="s">
        <v>58</v>
      </c>
      <c r="K3012" s="16">
        <v>5.88</v>
      </c>
      <c r="L3012" s="16">
        <v>9.3800000000000008</v>
      </c>
      <c r="M3012" s="16">
        <v>9.94</v>
      </c>
    </row>
    <row r="3013" spans="1:13" outlineLevel="3" x14ac:dyDescent="0.2">
      <c r="B3013" s="4" t="str">
        <f>"0003550100"</f>
        <v>0003550100</v>
      </c>
      <c r="C3013" s="5" t="str">
        <f>"063719"</f>
        <v>063719</v>
      </c>
      <c r="D3013" s="12" t="s">
        <v>453</v>
      </c>
      <c r="E3013" s="14" t="s">
        <v>82</v>
      </c>
      <c r="F3013" s="12" t="s">
        <v>73</v>
      </c>
      <c r="G3013" s="15">
        <v>100</v>
      </c>
      <c r="H3013" s="12" t="s">
        <v>454</v>
      </c>
      <c r="I3013" s="12" t="s">
        <v>5</v>
      </c>
      <c r="K3013" s="16">
        <v>5.29</v>
      </c>
      <c r="L3013" s="16">
        <v>8.44</v>
      </c>
      <c r="M3013" s="16">
        <v>9.94</v>
      </c>
    </row>
    <row r="3014" spans="1:13" outlineLevel="3" x14ac:dyDescent="0.2">
      <c r="B3014" s="4" t="str">
        <f>"0003600030"</f>
        <v>0003600030</v>
      </c>
      <c r="C3014" s="5" t="str">
        <f>"116988"</f>
        <v>116988</v>
      </c>
      <c r="D3014" s="12" t="s">
        <v>453</v>
      </c>
      <c r="E3014" s="14" t="s">
        <v>111</v>
      </c>
      <c r="F3014" s="12" t="s">
        <v>73</v>
      </c>
      <c r="G3014" s="15">
        <v>30</v>
      </c>
      <c r="H3014" s="12" t="s">
        <v>454</v>
      </c>
      <c r="I3014" s="12" t="s">
        <v>5</v>
      </c>
      <c r="K3014" s="16">
        <v>1.24</v>
      </c>
      <c r="L3014" s="16">
        <v>1.98</v>
      </c>
      <c r="M3014" s="16">
        <v>3.48</v>
      </c>
    </row>
    <row r="3015" spans="1:13" outlineLevel="2" x14ac:dyDescent="0.2"/>
    <row r="3016" spans="1:13" outlineLevel="3" x14ac:dyDescent="0.2">
      <c r="B3016" s="4" t="str">
        <f>"0003600100"</f>
        <v>0003600100</v>
      </c>
      <c r="C3016" s="5" t="str">
        <f>"160259"</f>
        <v>160259</v>
      </c>
      <c r="D3016" s="12" t="s">
        <v>455</v>
      </c>
      <c r="E3016" s="14" t="s">
        <v>111</v>
      </c>
      <c r="F3016" s="12" t="s">
        <v>73</v>
      </c>
      <c r="G3016" s="15">
        <v>100</v>
      </c>
      <c r="H3016" s="12" t="s">
        <v>454</v>
      </c>
      <c r="I3016" s="12" t="s">
        <v>247</v>
      </c>
      <c r="K3016" s="16">
        <v>4.1500000000000004</v>
      </c>
      <c r="L3016" s="16">
        <v>6.62</v>
      </c>
      <c r="M3016" s="16">
        <v>7.46</v>
      </c>
    </row>
    <row r="3017" spans="1:13" outlineLevel="3" x14ac:dyDescent="0.2">
      <c r="B3017" s="4" t="str">
        <f>"0003600100"</f>
        <v>0003600100</v>
      </c>
      <c r="C3017" s="5" t="str">
        <f>"469940"</f>
        <v>469940</v>
      </c>
      <c r="D3017" s="12" t="s">
        <v>456</v>
      </c>
      <c r="E3017" s="14" t="s">
        <v>111</v>
      </c>
      <c r="F3017" s="12" t="s">
        <v>73</v>
      </c>
      <c r="G3017" s="15">
        <v>100</v>
      </c>
      <c r="H3017" s="12" t="s">
        <v>454</v>
      </c>
      <c r="I3017" s="12" t="s">
        <v>58</v>
      </c>
      <c r="K3017" s="16">
        <v>4.1500000000000004</v>
      </c>
      <c r="L3017" s="16">
        <v>6.62</v>
      </c>
      <c r="M3017" s="16">
        <v>7.46</v>
      </c>
    </row>
    <row r="3018" spans="1:13" outlineLevel="3" x14ac:dyDescent="0.2">
      <c r="B3018" s="4" t="str">
        <f>"0003600100"</f>
        <v>0003600100</v>
      </c>
      <c r="C3018" s="5" t="str">
        <f>"063701"</f>
        <v>063701</v>
      </c>
      <c r="D3018" s="12" t="s">
        <v>453</v>
      </c>
      <c r="E3018" s="14" t="s">
        <v>111</v>
      </c>
      <c r="F3018" s="12" t="s">
        <v>73</v>
      </c>
      <c r="G3018" s="15">
        <v>100</v>
      </c>
      <c r="H3018" s="12" t="s">
        <v>454</v>
      </c>
      <c r="I3018" s="12" t="s">
        <v>5</v>
      </c>
      <c r="K3018" s="16">
        <v>3.74</v>
      </c>
      <c r="L3018" s="16">
        <v>5.96</v>
      </c>
      <c r="M3018" s="16">
        <v>7.46</v>
      </c>
    </row>
    <row r="3019" spans="1:13" outlineLevel="1" x14ac:dyDescent="0.2">
      <c r="A3019" s="3"/>
    </row>
    <row r="3020" spans="1:13" outlineLevel="2" x14ac:dyDescent="0.2">
      <c r="A3020" s="3" t="s">
        <v>1560</v>
      </c>
    </row>
    <row r="3021" spans="1:13" outlineLevel="3" x14ac:dyDescent="0.2">
      <c r="B3021" s="4" t="str">
        <f>"0003610030"</f>
        <v>0003610030</v>
      </c>
      <c r="C3021" s="5" t="str">
        <f>"383968"</f>
        <v>383968</v>
      </c>
      <c r="D3021" s="12" t="s">
        <v>457</v>
      </c>
      <c r="E3021" s="14" t="s">
        <v>25</v>
      </c>
      <c r="F3021" s="12" t="s">
        <v>73</v>
      </c>
      <c r="G3021" s="15">
        <v>30</v>
      </c>
      <c r="H3021" s="12" t="s">
        <v>458</v>
      </c>
      <c r="I3021" s="12" t="s">
        <v>5</v>
      </c>
      <c r="K3021" s="16">
        <v>2.0699999999999998</v>
      </c>
      <c r="L3021" s="16">
        <v>3.3</v>
      </c>
      <c r="M3021" s="16">
        <v>4.8</v>
      </c>
    </row>
    <row r="3022" spans="1:13" outlineLevel="3" x14ac:dyDescent="0.2">
      <c r="B3022" s="4" t="str">
        <f>"0003610030"</f>
        <v>0003610030</v>
      </c>
      <c r="C3022" s="5" t="str">
        <f>"547968"</f>
        <v>547968</v>
      </c>
      <c r="D3022" s="12" t="s">
        <v>459</v>
      </c>
      <c r="E3022" s="14" t="s">
        <v>25</v>
      </c>
      <c r="F3022" s="12" t="s">
        <v>73</v>
      </c>
      <c r="G3022" s="15">
        <v>30</v>
      </c>
      <c r="H3022" s="12" t="s">
        <v>458</v>
      </c>
      <c r="I3022" s="12" t="s">
        <v>58</v>
      </c>
      <c r="K3022" s="16">
        <v>2.0699999999999998</v>
      </c>
      <c r="L3022" s="16">
        <v>3.3</v>
      </c>
      <c r="M3022" s="16">
        <v>4.8</v>
      </c>
    </row>
    <row r="3023" spans="1:13" outlineLevel="2" x14ac:dyDescent="0.2"/>
    <row r="3024" spans="1:13" outlineLevel="3" x14ac:dyDescent="0.2">
      <c r="B3024" s="4" t="str">
        <f>"0003610100"</f>
        <v>0003610100</v>
      </c>
      <c r="C3024" s="5" t="str">
        <f>"383976"</f>
        <v>383976</v>
      </c>
      <c r="D3024" s="12" t="s">
        <v>457</v>
      </c>
      <c r="E3024" s="14" t="s">
        <v>25</v>
      </c>
      <c r="F3024" s="12" t="s">
        <v>73</v>
      </c>
      <c r="G3024" s="15">
        <v>100</v>
      </c>
      <c r="H3024" s="12" t="s">
        <v>458</v>
      </c>
      <c r="I3024" s="12" t="s">
        <v>5</v>
      </c>
      <c r="K3024" s="16">
        <v>4.66</v>
      </c>
      <c r="L3024" s="16">
        <v>7.44</v>
      </c>
      <c r="M3024" s="16">
        <v>8.94</v>
      </c>
    </row>
    <row r="3025" spans="1:13" outlineLevel="3" x14ac:dyDescent="0.2">
      <c r="B3025" s="4" t="str">
        <f>"0003610100"</f>
        <v>0003610100</v>
      </c>
      <c r="C3025" s="5" t="str">
        <f>"547976"</f>
        <v>547976</v>
      </c>
      <c r="D3025" s="12" t="s">
        <v>459</v>
      </c>
      <c r="E3025" s="14" t="s">
        <v>25</v>
      </c>
      <c r="F3025" s="12" t="s">
        <v>73</v>
      </c>
      <c r="G3025" s="15">
        <v>100</v>
      </c>
      <c r="H3025" s="12" t="s">
        <v>458</v>
      </c>
      <c r="I3025" s="12" t="s">
        <v>58</v>
      </c>
      <c r="K3025" s="16">
        <v>4.66</v>
      </c>
      <c r="L3025" s="16">
        <v>7.44</v>
      </c>
      <c r="M3025" s="16">
        <v>8.94</v>
      </c>
    </row>
    <row r="3026" spans="1:13" outlineLevel="2" x14ac:dyDescent="0.2"/>
    <row r="3027" spans="1:13" outlineLevel="3" x14ac:dyDescent="0.2">
      <c r="B3027" s="4" t="str">
        <f>"0003630030"</f>
        <v>0003630030</v>
      </c>
      <c r="C3027" s="5" t="str">
        <f>"547943"</f>
        <v>547943</v>
      </c>
      <c r="D3027" s="12" t="s">
        <v>459</v>
      </c>
      <c r="E3027" s="14" t="s">
        <v>106</v>
      </c>
      <c r="F3027" s="12" t="s">
        <v>73</v>
      </c>
      <c r="G3027" s="15">
        <v>30</v>
      </c>
      <c r="H3027" s="12" t="s">
        <v>458</v>
      </c>
      <c r="I3027" s="12" t="s">
        <v>58</v>
      </c>
      <c r="K3027" s="16">
        <v>5.15</v>
      </c>
      <c r="L3027" s="16">
        <v>8.2200000000000006</v>
      </c>
      <c r="M3027" s="16">
        <v>9.7200000000000006</v>
      </c>
    </row>
    <row r="3028" spans="1:13" outlineLevel="3" x14ac:dyDescent="0.2">
      <c r="B3028" s="4" t="str">
        <f>"0003630100"</f>
        <v>0003630100</v>
      </c>
      <c r="C3028" s="5" t="str">
        <f>"575845"</f>
        <v>575845</v>
      </c>
      <c r="D3028" s="12" t="s">
        <v>457</v>
      </c>
      <c r="E3028" s="14" t="s">
        <v>106</v>
      </c>
      <c r="F3028" s="12" t="s">
        <v>73</v>
      </c>
      <c r="G3028" s="15">
        <v>100</v>
      </c>
      <c r="H3028" s="12" t="s">
        <v>458</v>
      </c>
      <c r="I3028" s="12" t="s">
        <v>5</v>
      </c>
      <c r="J3028" s="2" t="s">
        <v>1400</v>
      </c>
      <c r="K3028" s="16">
        <v>15.08</v>
      </c>
      <c r="L3028" s="16">
        <v>23.41</v>
      </c>
      <c r="M3028" s="16">
        <v>24.91</v>
      </c>
    </row>
    <row r="3029" spans="1:13" outlineLevel="3" x14ac:dyDescent="0.2">
      <c r="B3029" s="4" t="str">
        <f>"0003630100"</f>
        <v>0003630100</v>
      </c>
      <c r="C3029" s="5" t="str">
        <f>"547950"</f>
        <v>547950</v>
      </c>
      <c r="D3029" s="12" t="s">
        <v>459</v>
      </c>
      <c r="E3029" s="14" t="s">
        <v>106</v>
      </c>
      <c r="F3029" s="12" t="s">
        <v>73</v>
      </c>
      <c r="G3029" s="15">
        <v>100</v>
      </c>
      <c r="H3029" s="12" t="s">
        <v>458</v>
      </c>
      <c r="I3029" s="12" t="s">
        <v>58</v>
      </c>
      <c r="K3029" s="16">
        <v>15.08</v>
      </c>
      <c r="L3029" s="16">
        <v>23.41</v>
      </c>
      <c r="M3029" s="16">
        <v>24.91</v>
      </c>
    </row>
    <row r="3030" spans="1:13" outlineLevel="1" x14ac:dyDescent="0.2">
      <c r="A3030" s="3"/>
    </row>
    <row r="3031" spans="1:13" outlineLevel="2" x14ac:dyDescent="0.2">
      <c r="A3031" s="3" t="s">
        <v>1561</v>
      </c>
    </row>
    <row r="3032" spans="1:13" outlineLevel="3" x14ac:dyDescent="0.2">
      <c r="B3032" s="4" t="str">
        <f>"0010070100"</f>
        <v>0010070100</v>
      </c>
      <c r="C3032" s="5" t="str">
        <f>"123273"</f>
        <v>123273</v>
      </c>
      <c r="D3032" s="12" t="s">
        <v>1022</v>
      </c>
      <c r="E3032" s="14" t="s">
        <v>465</v>
      </c>
      <c r="F3032" s="12" t="s">
        <v>73</v>
      </c>
      <c r="G3032" s="15">
        <v>100</v>
      </c>
      <c r="H3032" s="12" t="s">
        <v>1023</v>
      </c>
      <c r="I3032" s="12" t="s">
        <v>240</v>
      </c>
      <c r="K3032" s="16">
        <v>3.35</v>
      </c>
      <c r="L3032" s="16">
        <v>5.35</v>
      </c>
      <c r="M3032" s="16">
        <v>6.45</v>
      </c>
    </row>
    <row r="3033" spans="1:13" outlineLevel="3" x14ac:dyDescent="0.2">
      <c r="B3033" s="4" t="str">
        <f>"0010070100"</f>
        <v>0010070100</v>
      </c>
      <c r="C3033" s="5" t="str">
        <f>"183858"</f>
        <v>183858</v>
      </c>
      <c r="D3033" s="12" t="s">
        <v>1025</v>
      </c>
      <c r="E3033" s="14" t="s">
        <v>465</v>
      </c>
      <c r="F3033" s="12" t="s">
        <v>73</v>
      </c>
      <c r="G3033" s="15">
        <v>100</v>
      </c>
      <c r="H3033" s="12" t="s">
        <v>1023</v>
      </c>
      <c r="I3033" s="12" t="s">
        <v>28</v>
      </c>
      <c r="K3033" s="16">
        <v>3.35</v>
      </c>
      <c r="L3033" s="16">
        <v>5.35</v>
      </c>
      <c r="M3033" s="16">
        <v>6.45</v>
      </c>
    </row>
    <row r="3034" spans="1:13" ht="22.5" outlineLevel="3" x14ac:dyDescent="0.2">
      <c r="B3034" s="4" t="str">
        <f>"0010070100"</f>
        <v>0010070100</v>
      </c>
      <c r="C3034" s="5" t="str">
        <f>"154530"</f>
        <v>154530</v>
      </c>
      <c r="D3034" s="12" t="s">
        <v>1024</v>
      </c>
      <c r="E3034" s="14" t="s">
        <v>465</v>
      </c>
      <c r="F3034" s="12" t="s">
        <v>73</v>
      </c>
      <c r="G3034" s="15">
        <v>100</v>
      </c>
      <c r="H3034" s="12" t="s">
        <v>1023</v>
      </c>
      <c r="I3034" s="12" t="s">
        <v>293</v>
      </c>
      <c r="K3034" s="16">
        <v>3.1</v>
      </c>
      <c r="L3034" s="16">
        <v>4.95</v>
      </c>
      <c r="M3034" s="16">
        <v>6.45</v>
      </c>
    </row>
    <row r="3035" spans="1:13" outlineLevel="1" x14ac:dyDescent="0.2">
      <c r="A3035" s="3"/>
    </row>
    <row r="3036" spans="1:13" outlineLevel="2" x14ac:dyDescent="0.2">
      <c r="A3036" s="3" t="s">
        <v>1562</v>
      </c>
    </row>
    <row r="3037" spans="1:13" outlineLevel="3" x14ac:dyDescent="0.2">
      <c r="B3037" s="4" t="str">
        <f>"0003640030"</f>
        <v>0003640030</v>
      </c>
      <c r="C3037" s="5" t="str">
        <f>"077040"</f>
        <v>077040</v>
      </c>
      <c r="D3037" s="12" t="s">
        <v>460</v>
      </c>
      <c r="E3037" s="14" t="s">
        <v>461</v>
      </c>
      <c r="F3037" s="12" t="s">
        <v>73</v>
      </c>
      <c r="G3037" s="15">
        <v>30</v>
      </c>
      <c r="H3037" s="12" t="s">
        <v>462</v>
      </c>
      <c r="I3037" s="12" t="s">
        <v>240</v>
      </c>
      <c r="K3037" s="16">
        <v>1.73</v>
      </c>
      <c r="L3037" s="16">
        <v>2.76</v>
      </c>
      <c r="M3037" s="16">
        <v>4.26</v>
      </c>
    </row>
    <row r="3038" spans="1:13" ht="22.5" outlineLevel="3" x14ac:dyDescent="0.2">
      <c r="B3038" s="4" t="str">
        <f>"0003640030"</f>
        <v>0003640030</v>
      </c>
      <c r="C3038" s="5" t="str">
        <f>"179079"</f>
        <v>179079</v>
      </c>
      <c r="D3038" s="12" t="s">
        <v>463</v>
      </c>
      <c r="E3038" s="14" t="s">
        <v>461</v>
      </c>
      <c r="F3038" s="12" t="s">
        <v>73</v>
      </c>
      <c r="G3038" s="15">
        <v>30</v>
      </c>
      <c r="H3038" s="12" t="s">
        <v>462</v>
      </c>
      <c r="I3038" s="12" t="s">
        <v>104</v>
      </c>
      <c r="K3038" s="16">
        <v>1.73</v>
      </c>
      <c r="L3038" s="16">
        <v>2.76</v>
      </c>
      <c r="M3038" s="16">
        <v>4.26</v>
      </c>
    </row>
    <row r="3039" spans="1:13" outlineLevel="2" x14ac:dyDescent="0.2"/>
    <row r="3040" spans="1:13" outlineLevel="3" x14ac:dyDescent="0.2">
      <c r="B3040" s="4" t="str">
        <f>"0003640100"</f>
        <v>0003640100</v>
      </c>
      <c r="C3040" s="5" t="str">
        <f>"077057"</f>
        <v>077057</v>
      </c>
      <c r="D3040" s="12" t="s">
        <v>460</v>
      </c>
      <c r="E3040" s="14" t="s">
        <v>461</v>
      </c>
      <c r="F3040" s="12" t="s">
        <v>73</v>
      </c>
      <c r="G3040" s="15">
        <v>100</v>
      </c>
      <c r="H3040" s="12" t="s">
        <v>462</v>
      </c>
      <c r="I3040" s="12" t="s">
        <v>240</v>
      </c>
      <c r="K3040" s="16">
        <v>4.63</v>
      </c>
      <c r="L3040" s="16">
        <v>7.38</v>
      </c>
      <c r="M3040" s="16">
        <v>8.8800000000000008</v>
      </c>
    </row>
    <row r="3041" spans="2:13" ht="22.5" outlineLevel="3" x14ac:dyDescent="0.2">
      <c r="B3041" s="4" t="str">
        <f>"0003640100"</f>
        <v>0003640100</v>
      </c>
      <c r="C3041" s="5" t="str">
        <f>"470860"</f>
        <v>470860</v>
      </c>
      <c r="D3041" s="12" t="s">
        <v>463</v>
      </c>
      <c r="E3041" s="14" t="s">
        <v>461</v>
      </c>
      <c r="F3041" s="12" t="s">
        <v>73</v>
      </c>
      <c r="G3041" s="15">
        <v>100</v>
      </c>
      <c r="H3041" s="12" t="s">
        <v>462</v>
      </c>
      <c r="I3041" s="12" t="s">
        <v>104</v>
      </c>
      <c r="K3041" s="16">
        <v>4.63</v>
      </c>
      <c r="L3041" s="16">
        <v>7.38</v>
      </c>
      <c r="M3041" s="16">
        <v>8.8800000000000008</v>
      </c>
    </row>
    <row r="3042" spans="2:13" outlineLevel="2" x14ac:dyDescent="0.2"/>
    <row r="3043" spans="2:13" outlineLevel="3" x14ac:dyDescent="0.2">
      <c r="B3043" s="4" t="str">
        <f>"0003650030"</f>
        <v>0003650030</v>
      </c>
      <c r="C3043" s="5" t="str">
        <f>"077065"</f>
        <v>077065</v>
      </c>
      <c r="D3043" s="12" t="s">
        <v>460</v>
      </c>
      <c r="E3043" s="14" t="s">
        <v>464</v>
      </c>
      <c r="F3043" s="12" t="s">
        <v>73</v>
      </c>
      <c r="G3043" s="15">
        <v>30</v>
      </c>
      <c r="H3043" s="12" t="s">
        <v>462</v>
      </c>
      <c r="I3043" s="12" t="s">
        <v>240</v>
      </c>
      <c r="K3043" s="16">
        <v>2.63</v>
      </c>
      <c r="L3043" s="16">
        <v>4.1900000000000004</v>
      </c>
      <c r="M3043" s="16">
        <v>5.69</v>
      </c>
    </row>
    <row r="3044" spans="2:13" ht="22.5" outlineLevel="3" x14ac:dyDescent="0.2">
      <c r="B3044" s="4" t="str">
        <f>"0003650030"</f>
        <v>0003650030</v>
      </c>
      <c r="C3044" s="5" t="str">
        <f>"116233"</f>
        <v>116233</v>
      </c>
      <c r="D3044" s="12" t="s">
        <v>463</v>
      </c>
      <c r="E3044" s="14" t="s">
        <v>464</v>
      </c>
      <c r="F3044" s="12" t="s">
        <v>73</v>
      </c>
      <c r="G3044" s="15">
        <v>30</v>
      </c>
      <c r="H3044" s="12" t="s">
        <v>462</v>
      </c>
      <c r="I3044" s="12" t="s">
        <v>104</v>
      </c>
      <c r="K3044" s="16">
        <v>2.63</v>
      </c>
      <c r="L3044" s="16">
        <v>4.1900000000000004</v>
      </c>
      <c r="M3044" s="16">
        <v>5.69</v>
      </c>
    </row>
    <row r="3045" spans="2:13" outlineLevel="2" x14ac:dyDescent="0.2"/>
    <row r="3046" spans="2:13" ht="22.5" outlineLevel="3" x14ac:dyDescent="0.2">
      <c r="B3046" s="4" t="str">
        <f>"0003650100"</f>
        <v>0003650100</v>
      </c>
      <c r="C3046" s="5" t="str">
        <f>"060953"</f>
        <v>060953</v>
      </c>
      <c r="D3046" s="12" t="s">
        <v>463</v>
      </c>
      <c r="E3046" s="14" t="s">
        <v>464</v>
      </c>
      <c r="F3046" s="12" t="s">
        <v>73</v>
      </c>
      <c r="G3046" s="15">
        <v>100</v>
      </c>
      <c r="H3046" s="12" t="s">
        <v>462</v>
      </c>
      <c r="I3046" s="12" t="s">
        <v>104</v>
      </c>
      <c r="K3046" s="16">
        <v>8.0399999999999991</v>
      </c>
      <c r="L3046" s="16">
        <v>12.83</v>
      </c>
      <c r="M3046" s="16">
        <v>14.33</v>
      </c>
    </row>
    <row r="3047" spans="2:13" outlineLevel="3" x14ac:dyDescent="0.2">
      <c r="B3047" s="4" t="str">
        <f>"0003650100"</f>
        <v>0003650100</v>
      </c>
      <c r="C3047" s="5" t="str">
        <f>"077073"</f>
        <v>077073</v>
      </c>
      <c r="D3047" s="12" t="s">
        <v>460</v>
      </c>
      <c r="E3047" s="14" t="s">
        <v>464</v>
      </c>
      <c r="F3047" s="12" t="s">
        <v>73</v>
      </c>
      <c r="G3047" s="15">
        <v>100</v>
      </c>
      <c r="H3047" s="12" t="s">
        <v>462</v>
      </c>
      <c r="I3047" s="12" t="s">
        <v>240</v>
      </c>
      <c r="K3047" s="16">
        <v>8.0399999999999991</v>
      </c>
      <c r="L3047" s="16">
        <v>12.83</v>
      </c>
      <c r="M3047" s="16">
        <v>14.33</v>
      </c>
    </row>
    <row r="3048" spans="2:13" outlineLevel="2" x14ac:dyDescent="0.2"/>
    <row r="3049" spans="2:13" outlineLevel="3" x14ac:dyDescent="0.2">
      <c r="B3049" s="4" t="str">
        <f>"0003660030"</f>
        <v>0003660030</v>
      </c>
      <c r="C3049" s="5" t="str">
        <f>"134734"</f>
        <v>134734</v>
      </c>
      <c r="D3049" s="12" t="s">
        <v>460</v>
      </c>
      <c r="E3049" s="14" t="s">
        <v>465</v>
      </c>
      <c r="F3049" s="12" t="s">
        <v>73</v>
      </c>
      <c r="G3049" s="15">
        <v>30</v>
      </c>
      <c r="H3049" s="12" t="s">
        <v>462</v>
      </c>
      <c r="I3049" s="12" t="s">
        <v>240</v>
      </c>
      <c r="K3049" s="16">
        <v>4.74</v>
      </c>
      <c r="L3049" s="16">
        <v>7.56</v>
      </c>
      <c r="M3049" s="16">
        <v>9.06</v>
      </c>
    </row>
    <row r="3050" spans="2:13" ht="22.5" outlineLevel="3" x14ac:dyDescent="0.2">
      <c r="B3050" s="4" t="str">
        <f>"0003660030"</f>
        <v>0003660030</v>
      </c>
      <c r="C3050" s="5" t="str">
        <f>"538339"</f>
        <v>538339</v>
      </c>
      <c r="D3050" s="12" t="s">
        <v>463</v>
      </c>
      <c r="E3050" s="14" t="s">
        <v>465</v>
      </c>
      <c r="F3050" s="12" t="s">
        <v>73</v>
      </c>
      <c r="G3050" s="15">
        <v>30</v>
      </c>
      <c r="H3050" s="12" t="s">
        <v>462</v>
      </c>
      <c r="I3050" s="12" t="s">
        <v>104</v>
      </c>
      <c r="K3050" s="16">
        <v>4.74</v>
      </c>
      <c r="L3050" s="16">
        <v>7.56</v>
      </c>
      <c r="M3050" s="16">
        <v>9.06</v>
      </c>
    </row>
    <row r="3051" spans="2:13" outlineLevel="2" x14ac:dyDescent="0.2"/>
    <row r="3052" spans="2:13" ht="22.5" outlineLevel="3" x14ac:dyDescent="0.2">
      <c r="B3052" s="4" t="str">
        <f>"0003660100"</f>
        <v>0003660100</v>
      </c>
      <c r="C3052" s="5" t="str">
        <f>"082744"</f>
        <v>082744</v>
      </c>
      <c r="D3052" s="12" t="s">
        <v>463</v>
      </c>
      <c r="E3052" s="14" t="s">
        <v>465</v>
      </c>
      <c r="F3052" s="12" t="s">
        <v>73</v>
      </c>
      <c r="G3052" s="15">
        <v>100</v>
      </c>
      <c r="H3052" s="12" t="s">
        <v>462</v>
      </c>
      <c r="I3052" s="12" t="s">
        <v>104</v>
      </c>
      <c r="K3052" s="16">
        <v>14.47</v>
      </c>
      <c r="L3052" s="16">
        <v>22.5</v>
      </c>
      <c r="M3052" s="16">
        <v>24</v>
      </c>
    </row>
    <row r="3053" spans="2:13" outlineLevel="3" x14ac:dyDescent="0.2">
      <c r="B3053" s="4" t="str">
        <f>"0003660100"</f>
        <v>0003660100</v>
      </c>
      <c r="C3053" s="5" t="str">
        <f>"134809"</f>
        <v>134809</v>
      </c>
      <c r="D3053" s="12" t="s">
        <v>460</v>
      </c>
      <c r="E3053" s="14" t="s">
        <v>465</v>
      </c>
      <c r="F3053" s="12" t="s">
        <v>73</v>
      </c>
      <c r="G3053" s="15">
        <v>100</v>
      </c>
      <c r="H3053" s="12" t="s">
        <v>462</v>
      </c>
      <c r="I3053" s="12" t="s">
        <v>240</v>
      </c>
      <c r="K3053" s="16">
        <v>14.47</v>
      </c>
      <c r="L3053" s="16">
        <v>22.5</v>
      </c>
      <c r="M3053" s="16">
        <v>24</v>
      </c>
    </row>
    <row r="3054" spans="2:13" outlineLevel="2" x14ac:dyDescent="0.2"/>
    <row r="3055" spans="2:13" outlineLevel="3" x14ac:dyDescent="0.2">
      <c r="B3055" s="4" t="str">
        <f>"0012900020"</f>
        <v>0012900020</v>
      </c>
      <c r="C3055" s="5" t="str">
        <f>"047137"</f>
        <v>047137</v>
      </c>
      <c r="D3055" s="12" t="s">
        <v>1225</v>
      </c>
      <c r="E3055" s="14" t="s">
        <v>464</v>
      </c>
      <c r="F3055" s="12" t="s">
        <v>441</v>
      </c>
      <c r="G3055" s="15">
        <v>20</v>
      </c>
      <c r="H3055" s="12" t="s">
        <v>462</v>
      </c>
      <c r="I3055" s="12" t="s">
        <v>30</v>
      </c>
      <c r="K3055" s="16">
        <v>1.27</v>
      </c>
      <c r="L3055" s="16">
        <v>2.02</v>
      </c>
      <c r="M3055" s="16">
        <v>3.52</v>
      </c>
    </row>
    <row r="3056" spans="2:13" outlineLevel="2" x14ac:dyDescent="0.2"/>
    <row r="3057" spans="1:13" outlineLevel="3" x14ac:dyDescent="0.2">
      <c r="B3057" s="4" t="str">
        <f>"0012900100"</f>
        <v>0012900100</v>
      </c>
      <c r="C3057" s="5" t="str">
        <f>"057677"</f>
        <v>057677</v>
      </c>
      <c r="D3057" s="12" t="s">
        <v>1225</v>
      </c>
      <c r="E3057" s="14" t="s">
        <v>464</v>
      </c>
      <c r="F3057" s="12" t="s">
        <v>441</v>
      </c>
      <c r="G3057" s="15">
        <v>100</v>
      </c>
      <c r="H3057" s="12" t="s">
        <v>462</v>
      </c>
      <c r="I3057" s="12" t="s">
        <v>30</v>
      </c>
      <c r="K3057" s="16">
        <v>5.07</v>
      </c>
      <c r="L3057" s="16">
        <v>8.09</v>
      </c>
      <c r="M3057" s="16">
        <v>9.59</v>
      </c>
    </row>
    <row r="3058" spans="1:13" outlineLevel="2" x14ac:dyDescent="0.2"/>
    <row r="3059" spans="1:13" outlineLevel="3" x14ac:dyDescent="0.2">
      <c r="B3059" s="4" t="str">
        <f>"0012910020"</f>
        <v>0012910020</v>
      </c>
      <c r="C3059" s="5" t="str">
        <f>"012906"</f>
        <v>012906</v>
      </c>
      <c r="D3059" s="12" t="s">
        <v>1226</v>
      </c>
      <c r="E3059" s="14" t="s">
        <v>465</v>
      </c>
      <c r="F3059" s="12" t="s">
        <v>441</v>
      </c>
      <c r="G3059" s="15">
        <v>20</v>
      </c>
      <c r="H3059" s="12" t="s">
        <v>462</v>
      </c>
      <c r="I3059" s="12" t="s">
        <v>240</v>
      </c>
      <c r="K3059" s="16">
        <v>2.29</v>
      </c>
      <c r="L3059" s="16">
        <v>3.65</v>
      </c>
      <c r="M3059" s="16">
        <v>5.15</v>
      </c>
    </row>
    <row r="3060" spans="1:13" outlineLevel="3" x14ac:dyDescent="0.2">
      <c r="B3060" s="4" t="str">
        <f>"0012910020"</f>
        <v>0012910020</v>
      </c>
      <c r="C3060" s="5" t="str">
        <f>"040019"</f>
        <v>040019</v>
      </c>
      <c r="D3060" s="12" t="s">
        <v>1225</v>
      </c>
      <c r="E3060" s="14" t="s">
        <v>465</v>
      </c>
      <c r="F3060" s="12" t="s">
        <v>441</v>
      </c>
      <c r="G3060" s="15">
        <v>20</v>
      </c>
      <c r="H3060" s="12" t="s">
        <v>462</v>
      </c>
      <c r="I3060" s="12" t="s">
        <v>30</v>
      </c>
      <c r="K3060" s="16">
        <v>2.29</v>
      </c>
      <c r="L3060" s="16">
        <v>3.65</v>
      </c>
      <c r="M3060" s="16">
        <v>5.15</v>
      </c>
    </row>
    <row r="3061" spans="1:13" outlineLevel="2" x14ac:dyDescent="0.2"/>
    <row r="3062" spans="1:13" outlineLevel="3" x14ac:dyDescent="0.2">
      <c r="B3062" s="4" t="str">
        <f>"0012910100"</f>
        <v>0012910100</v>
      </c>
      <c r="C3062" s="5" t="str">
        <f>"012922"</f>
        <v>012922</v>
      </c>
      <c r="D3062" s="12" t="s">
        <v>1226</v>
      </c>
      <c r="E3062" s="14" t="s">
        <v>465</v>
      </c>
      <c r="F3062" s="12" t="s">
        <v>441</v>
      </c>
      <c r="G3062" s="15">
        <v>100</v>
      </c>
      <c r="H3062" s="12" t="s">
        <v>462</v>
      </c>
      <c r="I3062" s="12" t="s">
        <v>240</v>
      </c>
      <c r="K3062" s="16">
        <v>9.15</v>
      </c>
      <c r="L3062" s="16">
        <v>14.6</v>
      </c>
      <c r="M3062" s="16">
        <v>16.100000000000001</v>
      </c>
    </row>
    <row r="3063" spans="1:13" outlineLevel="3" x14ac:dyDescent="0.2">
      <c r="B3063" s="4" t="str">
        <f>"0012910100"</f>
        <v>0012910100</v>
      </c>
      <c r="C3063" s="5" t="str">
        <f>"178740"</f>
        <v>178740</v>
      </c>
      <c r="D3063" s="12" t="s">
        <v>1225</v>
      </c>
      <c r="E3063" s="14" t="s">
        <v>465</v>
      </c>
      <c r="F3063" s="12" t="s">
        <v>441</v>
      </c>
      <c r="G3063" s="15">
        <v>100</v>
      </c>
      <c r="H3063" s="12" t="s">
        <v>462</v>
      </c>
      <c r="I3063" s="12" t="s">
        <v>30</v>
      </c>
      <c r="K3063" s="16">
        <v>9.15</v>
      </c>
      <c r="L3063" s="16">
        <v>14.6</v>
      </c>
      <c r="M3063" s="16">
        <v>16.100000000000001</v>
      </c>
    </row>
    <row r="3064" spans="1:13" outlineLevel="2" x14ac:dyDescent="0.2"/>
    <row r="3065" spans="1:13" outlineLevel="3" x14ac:dyDescent="0.2">
      <c r="B3065" s="4" t="str">
        <f>"0012920020"</f>
        <v>0012920020</v>
      </c>
      <c r="C3065" s="5" t="str">
        <f>"013110"</f>
        <v>013110</v>
      </c>
      <c r="D3065" s="12" t="s">
        <v>1226</v>
      </c>
      <c r="E3065" s="14" t="s">
        <v>649</v>
      </c>
      <c r="F3065" s="12" t="s">
        <v>441</v>
      </c>
      <c r="G3065" s="15">
        <v>20</v>
      </c>
      <c r="H3065" s="12" t="s">
        <v>462</v>
      </c>
      <c r="I3065" s="12" t="s">
        <v>240</v>
      </c>
      <c r="K3065" s="16">
        <v>4.03</v>
      </c>
      <c r="L3065" s="16">
        <v>6.42</v>
      </c>
      <c r="M3065" s="16">
        <v>7.92</v>
      </c>
    </row>
    <row r="3066" spans="1:13" outlineLevel="3" x14ac:dyDescent="0.2">
      <c r="B3066" s="4" t="str">
        <f>"0012920020"</f>
        <v>0012920020</v>
      </c>
      <c r="C3066" s="5" t="str">
        <f>"456059"</f>
        <v>456059</v>
      </c>
      <c r="D3066" s="12" t="s">
        <v>1225</v>
      </c>
      <c r="E3066" s="14" t="s">
        <v>649</v>
      </c>
      <c r="F3066" s="12" t="s">
        <v>441</v>
      </c>
      <c r="G3066" s="15">
        <v>20</v>
      </c>
      <c r="H3066" s="12" t="s">
        <v>462</v>
      </c>
      <c r="I3066" s="12" t="s">
        <v>30</v>
      </c>
      <c r="K3066" s="16">
        <v>4.03</v>
      </c>
      <c r="L3066" s="16">
        <v>6.42</v>
      </c>
      <c r="M3066" s="16">
        <v>7.92</v>
      </c>
    </row>
    <row r="3067" spans="1:13" outlineLevel="2" x14ac:dyDescent="0.2"/>
    <row r="3068" spans="1:13" outlineLevel="3" x14ac:dyDescent="0.2">
      <c r="B3068" s="4" t="str">
        <f>"0012920100"</f>
        <v>0012920100</v>
      </c>
      <c r="C3068" s="5" t="str">
        <f>"013292"</f>
        <v>013292</v>
      </c>
      <c r="D3068" s="12" t="s">
        <v>1226</v>
      </c>
      <c r="E3068" s="14" t="s">
        <v>649</v>
      </c>
      <c r="F3068" s="12" t="s">
        <v>441</v>
      </c>
      <c r="G3068" s="15">
        <v>100</v>
      </c>
      <c r="H3068" s="12" t="s">
        <v>462</v>
      </c>
      <c r="I3068" s="12" t="s">
        <v>240</v>
      </c>
      <c r="K3068" s="16">
        <v>16.100000000000001</v>
      </c>
      <c r="L3068" s="16">
        <v>24.93</v>
      </c>
      <c r="M3068" s="16">
        <v>26.43</v>
      </c>
    </row>
    <row r="3069" spans="1:13" outlineLevel="3" x14ac:dyDescent="0.2">
      <c r="B3069" s="4" t="str">
        <f>"0012920100"</f>
        <v>0012920100</v>
      </c>
      <c r="C3069" s="5" t="str">
        <f>"140589"</f>
        <v>140589</v>
      </c>
      <c r="D3069" s="12" t="s">
        <v>1225</v>
      </c>
      <c r="E3069" s="14" t="s">
        <v>649</v>
      </c>
      <c r="F3069" s="12" t="s">
        <v>441</v>
      </c>
      <c r="G3069" s="15">
        <v>100</v>
      </c>
      <c r="H3069" s="12" t="s">
        <v>462</v>
      </c>
      <c r="I3069" s="12" t="s">
        <v>30</v>
      </c>
      <c r="K3069" s="16">
        <v>16.100000000000001</v>
      </c>
      <c r="L3069" s="16">
        <v>24.93</v>
      </c>
      <c r="M3069" s="16">
        <v>26.43</v>
      </c>
    </row>
    <row r="3070" spans="1:13" outlineLevel="1" x14ac:dyDescent="0.2">
      <c r="A3070" s="3"/>
    </row>
    <row r="3071" spans="1:13" outlineLevel="2" x14ac:dyDescent="0.2">
      <c r="A3071" s="3" t="s">
        <v>1563</v>
      </c>
    </row>
    <row r="3072" spans="1:13" ht="22.5" outlineLevel="3" x14ac:dyDescent="0.2">
      <c r="B3072" s="4" t="str">
        <f>"0003670030"</f>
        <v>0003670030</v>
      </c>
      <c r="C3072" s="5" t="str">
        <f>"116094"</f>
        <v>116094</v>
      </c>
      <c r="D3072" s="12" t="s">
        <v>466</v>
      </c>
      <c r="E3072" s="14" t="s">
        <v>82</v>
      </c>
      <c r="F3072" s="12" t="s">
        <v>73</v>
      </c>
      <c r="G3072" s="15">
        <v>30</v>
      </c>
      <c r="H3072" s="12" t="s">
        <v>467</v>
      </c>
      <c r="I3072" s="12" t="s">
        <v>104</v>
      </c>
      <c r="K3072" s="16">
        <v>13.03</v>
      </c>
      <c r="L3072" s="16">
        <v>20.36</v>
      </c>
      <c r="M3072" s="16">
        <v>21.86</v>
      </c>
    </row>
    <row r="3073" spans="1:13" outlineLevel="2" x14ac:dyDescent="0.2"/>
    <row r="3074" spans="1:13" outlineLevel="3" x14ac:dyDescent="0.2">
      <c r="B3074" s="4" t="str">
        <f>"0003670100"</f>
        <v>0003670100</v>
      </c>
      <c r="C3074" s="5" t="str">
        <f>"012439"</f>
        <v>012439</v>
      </c>
      <c r="D3074" s="12" t="s">
        <v>468</v>
      </c>
      <c r="E3074" s="14" t="s">
        <v>82</v>
      </c>
      <c r="F3074" s="12" t="s">
        <v>73</v>
      </c>
      <c r="G3074" s="15">
        <v>100</v>
      </c>
      <c r="H3074" s="12" t="s">
        <v>467</v>
      </c>
      <c r="I3074" s="12" t="s">
        <v>247</v>
      </c>
      <c r="K3074" s="16">
        <v>38.83</v>
      </c>
      <c r="L3074" s="16">
        <v>58.67</v>
      </c>
      <c r="M3074" s="16">
        <v>60.67</v>
      </c>
    </row>
    <row r="3075" spans="1:13" ht="22.5" outlineLevel="3" x14ac:dyDescent="0.2">
      <c r="B3075" s="4" t="str">
        <f>"0003670100"</f>
        <v>0003670100</v>
      </c>
      <c r="C3075" s="5" t="str">
        <f>"199345"</f>
        <v>199345</v>
      </c>
      <c r="D3075" s="12" t="s">
        <v>466</v>
      </c>
      <c r="E3075" s="14" t="s">
        <v>82</v>
      </c>
      <c r="F3075" s="12" t="s">
        <v>73</v>
      </c>
      <c r="G3075" s="15">
        <v>100</v>
      </c>
      <c r="H3075" s="12" t="s">
        <v>467</v>
      </c>
      <c r="I3075" s="12" t="s">
        <v>104</v>
      </c>
      <c r="K3075" s="16">
        <v>38.83</v>
      </c>
      <c r="L3075" s="16">
        <v>58.67</v>
      </c>
      <c r="M3075" s="16">
        <v>60.67</v>
      </c>
    </row>
    <row r="3076" spans="1:13" outlineLevel="2" x14ac:dyDescent="0.2"/>
    <row r="3077" spans="1:13" ht="22.5" outlineLevel="3" x14ac:dyDescent="0.2">
      <c r="B3077" s="4" t="str">
        <f>"0003680030"</f>
        <v>0003680030</v>
      </c>
      <c r="C3077" s="5" t="str">
        <f>"560787"</f>
        <v>560787</v>
      </c>
      <c r="D3077" s="12" t="s">
        <v>466</v>
      </c>
      <c r="E3077" s="14" t="s">
        <v>111</v>
      </c>
      <c r="F3077" s="12" t="s">
        <v>73</v>
      </c>
      <c r="G3077" s="15">
        <v>30</v>
      </c>
      <c r="H3077" s="12" t="s">
        <v>467</v>
      </c>
      <c r="I3077" s="12" t="s">
        <v>104</v>
      </c>
      <c r="K3077" s="16">
        <v>7.24</v>
      </c>
      <c r="L3077" s="16">
        <v>11.55</v>
      </c>
      <c r="M3077" s="16">
        <v>13.05</v>
      </c>
    </row>
    <row r="3078" spans="1:13" outlineLevel="2" x14ac:dyDescent="0.2"/>
    <row r="3079" spans="1:13" ht="22.5" outlineLevel="3" x14ac:dyDescent="0.2">
      <c r="B3079" s="4" t="str">
        <f>"0003680100"</f>
        <v>0003680100</v>
      </c>
      <c r="C3079" s="5" t="str">
        <f>"439715"</f>
        <v>439715</v>
      </c>
      <c r="D3079" s="12" t="s">
        <v>466</v>
      </c>
      <c r="E3079" s="14" t="s">
        <v>111</v>
      </c>
      <c r="F3079" s="12" t="s">
        <v>73</v>
      </c>
      <c r="G3079" s="15">
        <v>100</v>
      </c>
      <c r="H3079" s="12" t="s">
        <v>467</v>
      </c>
      <c r="I3079" s="12" t="s">
        <v>104</v>
      </c>
      <c r="K3079" s="16">
        <v>21.75</v>
      </c>
      <c r="L3079" s="16">
        <v>33.31</v>
      </c>
      <c r="M3079" s="16">
        <v>34.49</v>
      </c>
    </row>
    <row r="3080" spans="1:13" outlineLevel="3" x14ac:dyDescent="0.2">
      <c r="B3080" s="4" t="str">
        <f>"0003680100"</f>
        <v>0003680100</v>
      </c>
      <c r="C3080" s="5" t="str">
        <f>"012417"</f>
        <v>012417</v>
      </c>
      <c r="D3080" s="12" t="s">
        <v>468</v>
      </c>
      <c r="E3080" s="14" t="s">
        <v>111</v>
      </c>
      <c r="F3080" s="12" t="s">
        <v>73</v>
      </c>
      <c r="G3080" s="15">
        <v>100</v>
      </c>
      <c r="H3080" s="12" t="s">
        <v>467</v>
      </c>
      <c r="I3080" s="12" t="s">
        <v>247</v>
      </c>
      <c r="K3080" s="16">
        <v>21.53</v>
      </c>
      <c r="L3080" s="16">
        <v>32.99</v>
      </c>
      <c r="M3080" s="16">
        <v>34.49</v>
      </c>
    </row>
    <row r="3081" spans="1:13" outlineLevel="1" x14ac:dyDescent="0.2">
      <c r="A3081" s="3"/>
    </row>
    <row r="3082" spans="1:13" outlineLevel="2" x14ac:dyDescent="0.2">
      <c r="A3082" s="3" t="s">
        <v>1564</v>
      </c>
    </row>
    <row r="3083" spans="1:13" ht="33.75" outlineLevel="3" x14ac:dyDescent="0.2">
      <c r="B3083" s="4" t="str">
        <f>"0003720030"</f>
        <v>0003720030</v>
      </c>
      <c r="C3083" s="5" t="str">
        <f>"173856"</f>
        <v>173856</v>
      </c>
      <c r="D3083" s="12" t="s">
        <v>469</v>
      </c>
      <c r="E3083" s="14" t="s">
        <v>111</v>
      </c>
      <c r="F3083" s="12" t="s">
        <v>3</v>
      </c>
      <c r="G3083" s="15">
        <v>30</v>
      </c>
      <c r="H3083" s="12" t="s">
        <v>470</v>
      </c>
      <c r="I3083" s="12" t="s">
        <v>11</v>
      </c>
      <c r="K3083" s="16">
        <v>2.04</v>
      </c>
      <c r="L3083" s="16">
        <v>3.26</v>
      </c>
      <c r="M3083" s="16">
        <v>4.76</v>
      </c>
    </row>
    <row r="3084" spans="1:13" outlineLevel="2" x14ac:dyDescent="0.2"/>
    <row r="3085" spans="1:13" ht="33.75" outlineLevel="3" x14ac:dyDescent="0.2">
      <c r="B3085" s="4" t="str">
        <f>"0003730010"</f>
        <v>0003730010</v>
      </c>
      <c r="C3085" s="5" t="str">
        <f>"175919"</f>
        <v>175919</v>
      </c>
      <c r="D3085" s="12" t="s">
        <v>472</v>
      </c>
      <c r="E3085" s="14" t="s">
        <v>375</v>
      </c>
      <c r="F3085" s="12" t="s">
        <v>3</v>
      </c>
      <c r="G3085" s="15">
        <v>10</v>
      </c>
      <c r="H3085" s="12" t="s">
        <v>470</v>
      </c>
      <c r="I3085" s="12" t="s">
        <v>58</v>
      </c>
      <c r="K3085" s="16">
        <v>1.73</v>
      </c>
      <c r="L3085" s="16">
        <v>2.76</v>
      </c>
      <c r="M3085" s="16">
        <v>4.24</v>
      </c>
    </row>
    <row r="3086" spans="1:13" ht="33.75" outlineLevel="3" x14ac:dyDescent="0.2">
      <c r="B3086" s="4" t="str">
        <f>"0003730010"</f>
        <v>0003730010</v>
      </c>
      <c r="C3086" s="5" t="str">
        <f>"028988"</f>
        <v>028988</v>
      </c>
      <c r="D3086" s="12" t="s">
        <v>471</v>
      </c>
      <c r="E3086" s="14" t="s">
        <v>375</v>
      </c>
      <c r="F3086" s="12" t="s">
        <v>3</v>
      </c>
      <c r="G3086" s="15">
        <v>10</v>
      </c>
      <c r="H3086" s="12" t="s">
        <v>470</v>
      </c>
      <c r="I3086" s="12" t="s">
        <v>64</v>
      </c>
      <c r="K3086" s="16">
        <v>1.72</v>
      </c>
      <c r="L3086" s="16">
        <v>2.74</v>
      </c>
      <c r="M3086" s="16">
        <v>4.24</v>
      </c>
    </row>
    <row r="3087" spans="1:13" outlineLevel="2" x14ac:dyDescent="0.2"/>
    <row r="3088" spans="1:13" outlineLevel="3" x14ac:dyDescent="0.2">
      <c r="B3088" s="4" t="str">
        <f>"0003730030"</f>
        <v>0003730030</v>
      </c>
      <c r="C3088" s="5" t="str">
        <f>"047787"</f>
        <v>047787</v>
      </c>
      <c r="D3088" s="12" t="s">
        <v>473</v>
      </c>
      <c r="E3088" s="14" t="s">
        <v>375</v>
      </c>
      <c r="F3088" s="12" t="s">
        <v>73</v>
      </c>
      <c r="G3088" s="15">
        <v>30</v>
      </c>
      <c r="H3088" s="12" t="s">
        <v>470</v>
      </c>
      <c r="I3088" s="12" t="s">
        <v>247</v>
      </c>
      <c r="K3088" s="16">
        <v>2.78</v>
      </c>
      <c r="L3088" s="16">
        <v>4.43</v>
      </c>
      <c r="M3088" s="16">
        <v>5.92</v>
      </c>
    </row>
    <row r="3089" spans="1:13" ht="33.75" outlineLevel="3" x14ac:dyDescent="0.2">
      <c r="B3089" s="4" t="str">
        <f>"0003730030"</f>
        <v>0003730030</v>
      </c>
      <c r="C3089" s="5" t="str">
        <f>"175935"</f>
        <v>175935</v>
      </c>
      <c r="D3089" s="12" t="s">
        <v>472</v>
      </c>
      <c r="E3089" s="14" t="s">
        <v>375</v>
      </c>
      <c r="F3089" s="12" t="s">
        <v>3</v>
      </c>
      <c r="G3089" s="15">
        <v>30</v>
      </c>
      <c r="H3089" s="12" t="s">
        <v>470</v>
      </c>
      <c r="I3089" s="12" t="s">
        <v>58</v>
      </c>
      <c r="K3089" s="16">
        <v>2.78</v>
      </c>
      <c r="L3089" s="16">
        <v>4.43</v>
      </c>
      <c r="M3089" s="16">
        <v>5.92</v>
      </c>
    </row>
    <row r="3090" spans="1:13" ht="33.75" outlineLevel="3" x14ac:dyDescent="0.2">
      <c r="B3090" s="4" t="str">
        <f>"0003730030"</f>
        <v>0003730030</v>
      </c>
      <c r="C3090" s="5" t="str">
        <f>"028997"</f>
        <v>028997</v>
      </c>
      <c r="D3090" s="12" t="s">
        <v>471</v>
      </c>
      <c r="E3090" s="14" t="s">
        <v>375</v>
      </c>
      <c r="F3090" s="12" t="s">
        <v>3</v>
      </c>
      <c r="G3090" s="15">
        <v>30</v>
      </c>
      <c r="H3090" s="12" t="s">
        <v>470</v>
      </c>
      <c r="I3090" s="12" t="s">
        <v>64</v>
      </c>
      <c r="K3090" s="16">
        <v>2.77</v>
      </c>
      <c r="L3090" s="16">
        <v>4.42</v>
      </c>
      <c r="M3090" s="16">
        <v>5.92</v>
      </c>
    </row>
    <row r="3091" spans="1:13" ht="33.75" outlineLevel="3" x14ac:dyDescent="0.2">
      <c r="B3091" s="4" t="str">
        <f>"0003730030"</f>
        <v>0003730030</v>
      </c>
      <c r="C3091" s="5" t="str">
        <f>"087312"</f>
        <v>087312</v>
      </c>
      <c r="D3091" s="12" t="s">
        <v>474</v>
      </c>
      <c r="E3091" s="14" t="s">
        <v>375</v>
      </c>
      <c r="F3091" s="12" t="s">
        <v>3</v>
      </c>
      <c r="G3091" s="15">
        <v>30</v>
      </c>
      <c r="H3091" s="12" t="s">
        <v>470</v>
      </c>
      <c r="I3091" s="12" t="s">
        <v>187</v>
      </c>
      <c r="K3091" s="16">
        <v>2.77</v>
      </c>
      <c r="L3091" s="16">
        <v>4.42</v>
      </c>
      <c r="M3091" s="16">
        <v>5.92</v>
      </c>
    </row>
    <row r="3092" spans="1:13" ht="33.75" outlineLevel="3" x14ac:dyDescent="0.2">
      <c r="B3092" s="4" t="str">
        <f>"0003730030"</f>
        <v>0003730030</v>
      </c>
      <c r="C3092" s="5" t="str">
        <f>"140028"</f>
        <v>140028</v>
      </c>
      <c r="D3092" s="12" t="s">
        <v>475</v>
      </c>
      <c r="E3092" s="14" t="s">
        <v>375</v>
      </c>
      <c r="F3092" s="12" t="s">
        <v>3</v>
      </c>
      <c r="G3092" s="15">
        <v>30</v>
      </c>
      <c r="H3092" s="12" t="s">
        <v>470</v>
      </c>
      <c r="I3092" s="12" t="s">
        <v>476</v>
      </c>
      <c r="K3092" s="16">
        <v>2.77</v>
      </c>
      <c r="L3092" s="16">
        <v>4.42</v>
      </c>
      <c r="M3092" s="16">
        <v>5.92</v>
      </c>
    </row>
    <row r="3093" spans="1:13" outlineLevel="2" x14ac:dyDescent="0.2"/>
    <row r="3094" spans="1:13" outlineLevel="3" x14ac:dyDescent="0.2">
      <c r="B3094" s="4" t="str">
        <f>"0003730100"</f>
        <v>0003730100</v>
      </c>
      <c r="C3094" s="5" t="str">
        <f>"047829"</f>
        <v>047829</v>
      </c>
      <c r="D3094" s="12" t="s">
        <v>473</v>
      </c>
      <c r="E3094" s="14" t="s">
        <v>375</v>
      </c>
      <c r="F3094" s="12" t="s">
        <v>73</v>
      </c>
      <c r="G3094" s="15">
        <v>100</v>
      </c>
      <c r="H3094" s="12" t="s">
        <v>470</v>
      </c>
      <c r="I3094" s="12" t="s">
        <v>247</v>
      </c>
      <c r="K3094" s="16">
        <v>6.99</v>
      </c>
      <c r="L3094" s="16">
        <v>11.15</v>
      </c>
      <c r="M3094" s="16">
        <v>11.07</v>
      </c>
    </row>
    <row r="3095" spans="1:13" ht="33.75" outlineLevel="3" x14ac:dyDescent="0.2">
      <c r="B3095" s="4" t="str">
        <f>"0003730100"</f>
        <v>0003730100</v>
      </c>
      <c r="C3095" s="5" t="str">
        <f>"087320"</f>
        <v>087320</v>
      </c>
      <c r="D3095" s="12" t="s">
        <v>474</v>
      </c>
      <c r="E3095" s="14" t="s">
        <v>375</v>
      </c>
      <c r="F3095" s="12" t="s">
        <v>3</v>
      </c>
      <c r="G3095" s="15">
        <v>100</v>
      </c>
      <c r="H3095" s="12" t="s">
        <v>470</v>
      </c>
      <c r="I3095" s="12" t="s">
        <v>187</v>
      </c>
      <c r="K3095" s="16">
        <v>6.99</v>
      </c>
      <c r="L3095" s="16">
        <v>11.15</v>
      </c>
      <c r="M3095" s="16">
        <v>11.07</v>
      </c>
    </row>
    <row r="3096" spans="1:13" ht="33.75" outlineLevel="3" x14ac:dyDescent="0.2">
      <c r="B3096" s="4" t="str">
        <f>"0003730100"</f>
        <v>0003730100</v>
      </c>
      <c r="C3096" s="5" t="str">
        <f>"176107"</f>
        <v>176107</v>
      </c>
      <c r="D3096" s="12" t="s">
        <v>472</v>
      </c>
      <c r="E3096" s="14" t="s">
        <v>375</v>
      </c>
      <c r="F3096" s="12" t="s">
        <v>3</v>
      </c>
      <c r="G3096" s="15">
        <v>100</v>
      </c>
      <c r="H3096" s="12" t="s">
        <v>470</v>
      </c>
      <c r="I3096" s="12" t="s">
        <v>58</v>
      </c>
      <c r="K3096" s="16">
        <v>6.99</v>
      </c>
      <c r="L3096" s="16">
        <v>11.15</v>
      </c>
      <c r="M3096" s="16">
        <v>11.07</v>
      </c>
    </row>
    <row r="3097" spans="1:13" ht="33.75" outlineLevel="3" x14ac:dyDescent="0.2">
      <c r="B3097" s="4" t="str">
        <f>"0003730100"</f>
        <v>0003730100</v>
      </c>
      <c r="C3097" s="5" t="str">
        <f>"140039"</f>
        <v>140039</v>
      </c>
      <c r="D3097" s="12" t="s">
        <v>475</v>
      </c>
      <c r="E3097" s="14" t="s">
        <v>375</v>
      </c>
      <c r="F3097" s="12" t="s">
        <v>3</v>
      </c>
      <c r="G3097" s="15">
        <v>100</v>
      </c>
      <c r="H3097" s="12" t="s">
        <v>470</v>
      </c>
      <c r="I3097" s="12" t="s">
        <v>476</v>
      </c>
      <c r="K3097" s="16">
        <v>6.05</v>
      </c>
      <c r="L3097" s="16">
        <v>9.65</v>
      </c>
      <c r="M3097" s="16">
        <v>11.07</v>
      </c>
    </row>
    <row r="3098" spans="1:13" ht="33.75" outlineLevel="3" x14ac:dyDescent="0.2">
      <c r="B3098" s="4" t="str">
        <f>"0003730100"</f>
        <v>0003730100</v>
      </c>
      <c r="C3098" s="5" t="str">
        <f>"029006"</f>
        <v>029006</v>
      </c>
      <c r="D3098" s="12" t="s">
        <v>471</v>
      </c>
      <c r="E3098" s="14" t="s">
        <v>375</v>
      </c>
      <c r="F3098" s="12" t="s">
        <v>3</v>
      </c>
      <c r="G3098" s="15">
        <v>100</v>
      </c>
      <c r="H3098" s="12" t="s">
        <v>470</v>
      </c>
      <c r="I3098" s="12" t="s">
        <v>64</v>
      </c>
      <c r="K3098" s="16">
        <v>6</v>
      </c>
      <c r="L3098" s="16">
        <v>9.57</v>
      </c>
      <c r="M3098" s="16">
        <v>11.07</v>
      </c>
    </row>
    <row r="3099" spans="1:13" outlineLevel="1" x14ac:dyDescent="0.2">
      <c r="A3099" s="3"/>
    </row>
    <row r="3100" spans="1:13" outlineLevel="2" x14ac:dyDescent="0.2">
      <c r="A3100" s="3" t="s">
        <v>1565</v>
      </c>
    </row>
    <row r="3101" spans="1:13" ht="33.75" outlineLevel="3" x14ac:dyDescent="0.2">
      <c r="B3101" s="4" t="str">
        <f>"0003740020"</f>
        <v>0003740020</v>
      </c>
      <c r="C3101" s="5" t="str">
        <f>"007902"</f>
        <v>007902</v>
      </c>
      <c r="D3101" s="12" t="s">
        <v>477</v>
      </c>
      <c r="E3101" s="14" t="s">
        <v>82</v>
      </c>
      <c r="F3101" s="12" t="s">
        <v>3</v>
      </c>
      <c r="G3101" s="15">
        <v>20</v>
      </c>
      <c r="H3101" s="12" t="s">
        <v>478</v>
      </c>
      <c r="I3101" s="12" t="s">
        <v>68</v>
      </c>
      <c r="K3101" s="16">
        <v>1.84</v>
      </c>
      <c r="L3101" s="16">
        <v>2.94</v>
      </c>
      <c r="M3101" s="16">
        <v>4.2300000000000004</v>
      </c>
    </row>
    <row r="3102" spans="1:13" ht="33.75" outlineLevel="3" x14ac:dyDescent="0.2">
      <c r="B3102" s="4" t="str">
        <f>"0003740020"</f>
        <v>0003740020</v>
      </c>
      <c r="C3102" s="5" t="str">
        <f>"008155"</f>
        <v>008155</v>
      </c>
      <c r="D3102" s="12" t="s">
        <v>479</v>
      </c>
      <c r="E3102" s="14" t="s">
        <v>82</v>
      </c>
      <c r="F3102" s="12" t="s">
        <v>3</v>
      </c>
      <c r="G3102" s="15">
        <v>20</v>
      </c>
      <c r="H3102" s="12" t="s">
        <v>478</v>
      </c>
      <c r="I3102" s="12" t="s">
        <v>5</v>
      </c>
      <c r="K3102" s="16">
        <v>1.84</v>
      </c>
      <c r="L3102" s="16">
        <v>2.94</v>
      </c>
      <c r="M3102" s="16">
        <v>4.2300000000000004</v>
      </c>
    </row>
    <row r="3103" spans="1:13" ht="33.75" outlineLevel="3" x14ac:dyDescent="0.2">
      <c r="B3103" s="4" t="str">
        <f>"0003740020"</f>
        <v>0003740020</v>
      </c>
      <c r="C3103" s="5" t="str">
        <f>"017213"</f>
        <v>017213</v>
      </c>
      <c r="D3103" s="12" t="s">
        <v>480</v>
      </c>
      <c r="E3103" s="14" t="s">
        <v>82</v>
      </c>
      <c r="F3103" s="12" t="s">
        <v>3</v>
      </c>
      <c r="G3103" s="15">
        <v>20</v>
      </c>
      <c r="H3103" s="12" t="s">
        <v>478</v>
      </c>
      <c r="I3103" s="12" t="s">
        <v>58</v>
      </c>
      <c r="K3103" s="16">
        <v>1.84</v>
      </c>
      <c r="L3103" s="16">
        <v>2.94</v>
      </c>
      <c r="M3103" s="16">
        <v>4.2300000000000004</v>
      </c>
    </row>
    <row r="3104" spans="1:13" ht="33.75" outlineLevel="3" x14ac:dyDescent="0.2">
      <c r="B3104" s="4" t="str">
        <f>"0003740020"</f>
        <v>0003740020</v>
      </c>
      <c r="C3104" s="5" t="str">
        <f>"450734"</f>
        <v>450734</v>
      </c>
      <c r="D3104" s="12" t="s">
        <v>482</v>
      </c>
      <c r="E3104" s="14" t="s">
        <v>82</v>
      </c>
      <c r="F3104" s="12" t="s">
        <v>3</v>
      </c>
      <c r="G3104" s="15">
        <v>20</v>
      </c>
      <c r="H3104" s="12" t="s">
        <v>478</v>
      </c>
      <c r="I3104" s="12" t="s">
        <v>187</v>
      </c>
      <c r="K3104" s="16">
        <v>1.84</v>
      </c>
      <c r="L3104" s="16">
        <v>2.94</v>
      </c>
      <c r="M3104" s="16">
        <v>4.2300000000000004</v>
      </c>
    </row>
    <row r="3105" spans="1:13" ht="33.75" outlineLevel="3" x14ac:dyDescent="0.2">
      <c r="B3105" s="4" t="str">
        <f>"0003740020"</f>
        <v>0003740020</v>
      </c>
      <c r="C3105" s="5" t="str">
        <f>"426956"</f>
        <v>426956</v>
      </c>
      <c r="D3105" s="12" t="s">
        <v>481</v>
      </c>
      <c r="E3105" s="14" t="s">
        <v>82</v>
      </c>
      <c r="F3105" s="12" t="s">
        <v>3</v>
      </c>
      <c r="G3105" s="15">
        <v>20</v>
      </c>
      <c r="H3105" s="12" t="s">
        <v>478</v>
      </c>
      <c r="I3105" s="12" t="s">
        <v>64</v>
      </c>
      <c r="K3105" s="16">
        <v>1.71</v>
      </c>
      <c r="L3105" s="16">
        <v>2.73</v>
      </c>
      <c r="M3105" s="16">
        <v>4.2300000000000004</v>
      </c>
    </row>
    <row r="3106" spans="1:13" outlineLevel="2" x14ac:dyDescent="0.2"/>
    <row r="3107" spans="1:13" ht="33.75" outlineLevel="3" x14ac:dyDescent="0.2">
      <c r="B3107" s="4" t="str">
        <f t="shared" ref="B3107:B3113" si="96">"0003740100"</f>
        <v>0003740100</v>
      </c>
      <c r="C3107" s="5" t="str">
        <f>"008046"</f>
        <v>008046</v>
      </c>
      <c r="D3107" s="12" t="s">
        <v>479</v>
      </c>
      <c r="E3107" s="14" t="s">
        <v>82</v>
      </c>
      <c r="F3107" s="12" t="s">
        <v>3</v>
      </c>
      <c r="G3107" s="15">
        <v>100</v>
      </c>
      <c r="H3107" s="12" t="s">
        <v>478</v>
      </c>
      <c r="I3107" s="12" t="s">
        <v>5</v>
      </c>
      <c r="K3107" s="16">
        <v>6.54</v>
      </c>
      <c r="L3107" s="16">
        <v>10.43</v>
      </c>
      <c r="M3107" s="16">
        <v>10.28</v>
      </c>
    </row>
    <row r="3108" spans="1:13" ht="33.75" outlineLevel="3" x14ac:dyDescent="0.2">
      <c r="B3108" s="4" t="str">
        <f t="shared" si="96"/>
        <v>0003740100</v>
      </c>
      <c r="C3108" s="5" t="str">
        <f>"008050"</f>
        <v>008050</v>
      </c>
      <c r="D3108" s="12" t="s">
        <v>477</v>
      </c>
      <c r="E3108" s="14" t="s">
        <v>82</v>
      </c>
      <c r="F3108" s="12" t="s">
        <v>3</v>
      </c>
      <c r="G3108" s="15">
        <v>100</v>
      </c>
      <c r="H3108" s="12" t="s">
        <v>478</v>
      </c>
      <c r="I3108" s="12" t="s">
        <v>68</v>
      </c>
      <c r="K3108" s="16">
        <v>6.54</v>
      </c>
      <c r="L3108" s="16">
        <v>10.43</v>
      </c>
      <c r="M3108" s="16">
        <v>10.28</v>
      </c>
    </row>
    <row r="3109" spans="1:13" ht="33.75" outlineLevel="3" x14ac:dyDescent="0.2">
      <c r="B3109" s="4" t="str">
        <f t="shared" si="96"/>
        <v>0003740100</v>
      </c>
      <c r="C3109" s="5" t="str">
        <f>"017135"</f>
        <v>017135</v>
      </c>
      <c r="D3109" s="12" t="s">
        <v>480</v>
      </c>
      <c r="E3109" s="14" t="s">
        <v>82</v>
      </c>
      <c r="F3109" s="12" t="s">
        <v>3</v>
      </c>
      <c r="G3109" s="15">
        <v>100</v>
      </c>
      <c r="H3109" s="12" t="s">
        <v>478</v>
      </c>
      <c r="I3109" s="12" t="s">
        <v>58</v>
      </c>
      <c r="K3109" s="16">
        <v>6.54</v>
      </c>
      <c r="L3109" s="16">
        <v>10.43</v>
      </c>
      <c r="M3109" s="16">
        <v>10.28</v>
      </c>
    </row>
    <row r="3110" spans="1:13" ht="33.75" outlineLevel="3" x14ac:dyDescent="0.2">
      <c r="B3110" s="4" t="str">
        <f t="shared" si="96"/>
        <v>0003740100</v>
      </c>
      <c r="C3110" s="5" t="str">
        <f>"450775"</f>
        <v>450775</v>
      </c>
      <c r="D3110" s="12" t="s">
        <v>482</v>
      </c>
      <c r="E3110" s="14" t="s">
        <v>82</v>
      </c>
      <c r="F3110" s="12" t="s">
        <v>3</v>
      </c>
      <c r="G3110" s="15">
        <v>100</v>
      </c>
      <c r="H3110" s="12" t="s">
        <v>478</v>
      </c>
      <c r="I3110" s="12" t="s">
        <v>187</v>
      </c>
      <c r="K3110" s="16">
        <v>6.54</v>
      </c>
      <c r="L3110" s="16">
        <v>10.43</v>
      </c>
      <c r="M3110" s="16">
        <v>10.28</v>
      </c>
    </row>
    <row r="3111" spans="1:13" ht="33.75" outlineLevel="3" x14ac:dyDescent="0.2">
      <c r="B3111" s="4" t="str">
        <f t="shared" si="96"/>
        <v>0003740100</v>
      </c>
      <c r="C3111" s="5" t="str">
        <f>"516613"</f>
        <v>516613</v>
      </c>
      <c r="D3111" s="12" t="s">
        <v>479</v>
      </c>
      <c r="E3111" s="14" t="s">
        <v>82</v>
      </c>
      <c r="F3111" s="12" t="s">
        <v>3</v>
      </c>
      <c r="G3111" s="15">
        <v>100</v>
      </c>
      <c r="H3111" s="12" t="s">
        <v>478</v>
      </c>
      <c r="I3111" s="12" t="s">
        <v>5</v>
      </c>
      <c r="K3111" s="16">
        <v>6.54</v>
      </c>
      <c r="L3111" s="16">
        <v>10.43</v>
      </c>
      <c r="M3111" s="16">
        <v>10.28</v>
      </c>
    </row>
    <row r="3112" spans="1:13" ht="33.75" outlineLevel="3" x14ac:dyDescent="0.2">
      <c r="B3112" s="4" t="str">
        <f t="shared" si="96"/>
        <v>0003740100</v>
      </c>
      <c r="C3112" s="5" t="str">
        <f>"006224"</f>
        <v>006224</v>
      </c>
      <c r="D3112" s="12" t="s">
        <v>483</v>
      </c>
      <c r="E3112" s="14" t="s">
        <v>82</v>
      </c>
      <c r="F3112" s="12" t="s">
        <v>3</v>
      </c>
      <c r="G3112" s="15">
        <v>100</v>
      </c>
      <c r="H3112" s="12" t="s">
        <v>478</v>
      </c>
      <c r="I3112" s="12" t="s">
        <v>62</v>
      </c>
      <c r="J3112" s="2" t="s">
        <v>1400</v>
      </c>
      <c r="K3112" s="16">
        <v>6.53</v>
      </c>
      <c r="L3112" s="16">
        <v>10.42</v>
      </c>
      <c r="M3112" s="16">
        <v>10.28</v>
      </c>
    </row>
    <row r="3113" spans="1:13" ht="33.75" outlineLevel="3" x14ac:dyDescent="0.2">
      <c r="B3113" s="4" t="str">
        <f t="shared" si="96"/>
        <v>0003740100</v>
      </c>
      <c r="C3113" s="5" t="str">
        <f>"470747"</f>
        <v>470747</v>
      </c>
      <c r="D3113" s="12" t="s">
        <v>481</v>
      </c>
      <c r="E3113" s="14" t="s">
        <v>82</v>
      </c>
      <c r="F3113" s="12" t="s">
        <v>3</v>
      </c>
      <c r="G3113" s="15">
        <v>100</v>
      </c>
      <c r="H3113" s="12" t="s">
        <v>478</v>
      </c>
      <c r="I3113" s="12" t="s">
        <v>64</v>
      </c>
      <c r="K3113" s="16">
        <v>5.5</v>
      </c>
      <c r="L3113" s="16">
        <v>8.7799999999999994</v>
      </c>
      <c r="M3113" s="16">
        <v>10.28</v>
      </c>
    </row>
    <row r="3114" spans="1:13" outlineLevel="1" x14ac:dyDescent="0.2">
      <c r="A3114" s="3"/>
    </row>
    <row r="3115" spans="1:13" outlineLevel="2" x14ac:dyDescent="0.2">
      <c r="A3115" s="3" t="s">
        <v>1566</v>
      </c>
    </row>
    <row r="3116" spans="1:13" ht="22.5" outlineLevel="3" x14ac:dyDescent="0.2">
      <c r="B3116" s="4" t="str">
        <f>"0003810030"</f>
        <v>0003810030</v>
      </c>
      <c r="C3116" s="5" t="str">
        <f>"054860"</f>
        <v>054860</v>
      </c>
      <c r="D3116" s="12" t="s">
        <v>484</v>
      </c>
      <c r="E3116" s="14" t="s">
        <v>14</v>
      </c>
      <c r="F3116" s="12" t="s">
        <v>262</v>
      </c>
      <c r="G3116" s="15">
        <v>30</v>
      </c>
      <c r="H3116" s="12" t="s">
        <v>485</v>
      </c>
      <c r="I3116" s="12" t="s">
        <v>70</v>
      </c>
      <c r="J3116" s="2" t="s">
        <v>1400</v>
      </c>
      <c r="K3116" s="16">
        <v>3.72</v>
      </c>
      <c r="L3116" s="16">
        <v>5.93</v>
      </c>
      <c r="M3116" s="16">
        <v>7.43</v>
      </c>
    </row>
    <row r="3117" spans="1:13" ht="33.75" outlineLevel="3" x14ac:dyDescent="0.2">
      <c r="B3117" s="4" t="str">
        <f>"0003810030"</f>
        <v>0003810030</v>
      </c>
      <c r="C3117" s="5" t="str">
        <f>"138828"</f>
        <v>138828</v>
      </c>
      <c r="D3117" s="12" t="s">
        <v>486</v>
      </c>
      <c r="E3117" s="14" t="s">
        <v>14</v>
      </c>
      <c r="F3117" s="12" t="s">
        <v>3</v>
      </c>
      <c r="G3117" s="15">
        <v>30</v>
      </c>
      <c r="H3117" s="12" t="s">
        <v>485</v>
      </c>
      <c r="I3117" s="12" t="s">
        <v>64</v>
      </c>
      <c r="K3117" s="16">
        <v>3.72</v>
      </c>
      <c r="L3117" s="16">
        <v>5.93</v>
      </c>
      <c r="M3117" s="16">
        <v>7.43</v>
      </c>
    </row>
    <row r="3118" spans="1:13" outlineLevel="3" x14ac:dyDescent="0.2">
      <c r="B3118" s="4" t="str">
        <f>"0003810030"</f>
        <v>0003810030</v>
      </c>
      <c r="C3118" s="5" t="str">
        <f>"466003"</f>
        <v>466003</v>
      </c>
      <c r="D3118" s="12" t="s">
        <v>487</v>
      </c>
      <c r="E3118" s="14" t="s">
        <v>14</v>
      </c>
      <c r="F3118" s="12" t="s">
        <v>216</v>
      </c>
      <c r="G3118" s="15">
        <v>30</v>
      </c>
      <c r="H3118" s="12" t="s">
        <v>485</v>
      </c>
      <c r="I3118" s="12" t="s">
        <v>5</v>
      </c>
      <c r="K3118" s="16">
        <v>3.72</v>
      </c>
      <c r="L3118" s="16">
        <v>5.93</v>
      </c>
      <c r="M3118" s="16">
        <v>7.43</v>
      </c>
    </row>
    <row r="3119" spans="1:13" outlineLevel="3" x14ac:dyDescent="0.2">
      <c r="B3119" s="4" t="str">
        <f>"0003810030"</f>
        <v>0003810030</v>
      </c>
      <c r="C3119" s="5" t="str">
        <f>"567362"</f>
        <v>567362</v>
      </c>
      <c r="D3119" s="12" t="s">
        <v>488</v>
      </c>
      <c r="E3119" s="14" t="s">
        <v>14</v>
      </c>
      <c r="F3119" s="12" t="s">
        <v>216</v>
      </c>
      <c r="G3119" s="15">
        <v>30</v>
      </c>
      <c r="H3119" s="12" t="s">
        <v>485</v>
      </c>
      <c r="I3119" s="12" t="s">
        <v>58</v>
      </c>
      <c r="K3119" s="16">
        <v>3.72</v>
      </c>
      <c r="L3119" s="16">
        <v>5.93</v>
      </c>
      <c r="M3119" s="16">
        <v>7.43</v>
      </c>
    </row>
    <row r="3120" spans="1:13" outlineLevel="2" x14ac:dyDescent="0.2"/>
    <row r="3121" spans="1:13" ht="22.5" outlineLevel="3" x14ac:dyDescent="0.2">
      <c r="B3121" s="4" t="str">
        <f>"0003810100"</f>
        <v>0003810100</v>
      </c>
      <c r="C3121" s="5" t="str">
        <f>"054869"</f>
        <v>054869</v>
      </c>
      <c r="D3121" s="12" t="s">
        <v>484</v>
      </c>
      <c r="E3121" s="14" t="s">
        <v>14</v>
      </c>
      <c r="F3121" s="12" t="s">
        <v>262</v>
      </c>
      <c r="G3121" s="15">
        <v>100</v>
      </c>
      <c r="H3121" s="12" t="s">
        <v>485</v>
      </c>
      <c r="I3121" s="12" t="s">
        <v>70</v>
      </c>
      <c r="J3121" s="2" t="s">
        <v>1400</v>
      </c>
      <c r="K3121" s="16">
        <v>8.94</v>
      </c>
      <c r="L3121" s="16">
        <v>14.26</v>
      </c>
      <c r="M3121" s="16">
        <v>13.94</v>
      </c>
    </row>
    <row r="3122" spans="1:13" outlineLevel="3" x14ac:dyDescent="0.2">
      <c r="B3122" s="4" t="str">
        <f>"0003810100"</f>
        <v>0003810100</v>
      </c>
      <c r="C3122" s="5" t="str">
        <f>"466029"</f>
        <v>466029</v>
      </c>
      <c r="D3122" s="12" t="s">
        <v>487</v>
      </c>
      <c r="E3122" s="14" t="s">
        <v>14</v>
      </c>
      <c r="F3122" s="12" t="s">
        <v>216</v>
      </c>
      <c r="G3122" s="15">
        <v>100</v>
      </c>
      <c r="H3122" s="12" t="s">
        <v>485</v>
      </c>
      <c r="I3122" s="12" t="s">
        <v>5</v>
      </c>
      <c r="K3122" s="16">
        <v>8.94</v>
      </c>
      <c r="L3122" s="16">
        <v>14.26</v>
      </c>
      <c r="M3122" s="16">
        <v>13.94</v>
      </c>
    </row>
    <row r="3123" spans="1:13" outlineLevel="3" x14ac:dyDescent="0.2">
      <c r="B3123" s="4" t="str">
        <f>"0003810100"</f>
        <v>0003810100</v>
      </c>
      <c r="C3123" s="5" t="str">
        <f>"567370"</f>
        <v>567370</v>
      </c>
      <c r="D3123" s="12" t="s">
        <v>488</v>
      </c>
      <c r="E3123" s="14" t="s">
        <v>14</v>
      </c>
      <c r="F3123" s="12" t="s">
        <v>216</v>
      </c>
      <c r="G3123" s="15">
        <v>100</v>
      </c>
      <c r="H3123" s="12" t="s">
        <v>485</v>
      </c>
      <c r="I3123" s="12" t="s">
        <v>58</v>
      </c>
      <c r="K3123" s="16">
        <v>8.94</v>
      </c>
      <c r="L3123" s="16">
        <v>14.26</v>
      </c>
      <c r="M3123" s="16">
        <v>13.94</v>
      </c>
    </row>
    <row r="3124" spans="1:13" outlineLevel="3" x14ac:dyDescent="0.2">
      <c r="B3124" s="4" t="str">
        <f>"0003810100"</f>
        <v>0003810100</v>
      </c>
      <c r="C3124" s="5" t="str">
        <f>"066225"</f>
        <v>066225</v>
      </c>
      <c r="D3124" s="12" t="s">
        <v>489</v>
      </c>
      <c r="E3124" s="14" t="s">
        <v>14</v>
      </c>
      <c r="F3124" s="12" t="s">
        <v>216</v>
      </c>
      <c r="G3124" s="15">
        <v>100</v>
      </c>
      <c r="H3124" s="12" t="s">
        <v>485</v>
      </c>
      <c r="I3124" s="12" t="s">
        <v>11</v>
      </c>
      <c r="K3124" s="16">
        <v>8.77</v>
      </c>
      <c r="L3124" s="16">
        <v>13.99</v>
      </c>
      <c r="M3124" s="16">
        <v>13.94</v>
      </c>
    </row>
    <row r="3125" spans="1:13" ht="33.75" outlineLevel="3" x14ac:dyDescent="0.2">
      <c r="B3125" s="4" t="str">
        <f>"0003810100"</f>
        <v>0003810100</v>
      </c>
      <c r="C3125" s="5" t="str">
        <f>"502851"</f>
        <v>502851</v>
      </c>
      <c r="D3125" s="12" t="s">
        <v>486</v>
      </c>
      <c r="E3125" s="14" t="s">
        <v>14</v>
      </c>
      <c r="F3125" s="12" t="s">
        <v>3</v>
      </c>
      <c r="G3125" s="15">
        <v>100</v>
      </c>
      <c r="H3125" s="12" t="s">
        <v>485</v>
      </c>
      <c r="I3125" s="12" t="s">
        <v>64</v>
      </c>
      <c r="K3125" s="16">
        <v>7.8</v>
      </c>
      <c r="L3125" s="16">
        <v>12.44</v>
      </c>
      <c r="M3125" s="16">
        <v>13.94</v>
      </c>
    </row>
    <row r="3126" spans="1:13" outlineLevel="2" x14ac:dyDescent="0.2"/>
    <row r="3127" spans="1:13" ht="33.75" outlineLevel="3" x14ac:dyDescent="0.2">
      <c r="B3127" s="4" t="str">
        <f>"0007770030"</f>
        <v>0007770030</v>
      </c>
      <c r="C3127" s="5" t="str">
        <f>"585380"</f>
        <v>585380</v>
      </c>
      <c r="D3127" s="12" t="s">
        <v>488</v>
      </c>
      <c r="E3127" s="14" t="s">
        <v>82</v>
      </c>
      <c r="F3127" s="12" t="s">
        <v>3</v>
      </c>
      <c r="G3127" s="15">
        <v>30</v>
      </c>
      <c r="H3127" s="12" t="s">
        <v>485</v>
      </c>
      <c r="I3127" s="12" t="s">
        <v>58</v>
      </c>
      <c r="K3127" s="16">
        <v>5.76</v>
      </c>
      <c r="L3127" s="16">
        <v>9.19</v>
      </c>
      <c r="M3127" s="16">
        <v>10.69</v>
      </c>
    </row>
    <row r="3128" spans="1:13" outlineLevel="2" x14ac:dyDescent="0.2"/>
    <row r="3129" spans="1:13" ht="33.75" outlineLevel="3" x14ac:dyDescent="0.2">
      <c r="B3129" s="4" t="str">
        <f>"0007770100"</f>
        <v>0007770100</v>
      </c>
      <c r="C3129" s="5" t="str">
        <f>"585398"</f>
        <v>585398</v>
      </c>
      <c r="D3129" s="12" t="s">
        <v>488</v>
      </c>
      <c r="E3129" s="14" t="s">
        <v>82</v>
      </c>
      <c r="F3129" s="12" t="s">
        <v>3</v>
      </c>
      <c r="G3129" s="15">
        <v>100</v>
      </c>
      <c r="H3129" s="12" t="s">
        <v>485</v>
      </c>
      <c r="I3129" s="12" t="s">
        <v>58</v>
      </c>
      <c r="K3129" s="16">
        <v>17.45</v>
      </c>
      <c r="L3129" s="16">
        <v>26.93</v>
      </c>
      <c r="M3129" s="16">
        <v>28.43</v>
      </c>
    </row>
    <row r="3130" spans="1:13" outlineLevel="1" x14ac:dyDescent="0.2">
      <c r="A3130" s="3"/>
    </row>
    <row r="3131" spans="1:13" outlineLevel="2" x14ac:dyDescent="0.2">
      <c r="A3131" s="3" t="s">
        <v>1567</v>
      </c>
    </row>
    <row r="3132" spans="1:13" ht="33.75" outlineLevel="3" x14ac:dyDescent="0.2">
      <c r="B3132" s="4" t="str">
        <f>"0003830014"</f>
        <v>0003830014</v>
      </c>
      <c r="C3132" s="5" t="str">
        <f>"010041"</f>
        <v>010041</v>
      </c>
      <c r="D3132" s="12" t="s">
        <v>490</v>
      </c>
      <c r="E3132" s="14" t="s">
        <v>82</v>
      </c>
      <c r="F3132" s="12" t="s">
        <v>3</v>
      </c>
      <c r="G3132" s="15">
        <v>14</v>
      </c>
      <c r="H3132" s="12" t="s">
        <v>491</v>
      </c>
      <c r="I3132" s="12" t="s">
        <v>492</v>
      </c>
      <c r="K3132" s="16">
        <v>1.92</v>
      </c>
      <c r="L3132" s="16">
        <v>3.06</v>
      </c>
      <c r="M3132" s="16">
        <v>4.5599999999999996</v>
      </c>
    </row>
    <row r="3133" spans="1:13" outlineLevel="2" x14ac:dyDescent="0.2"/>
    <row r="3134" spans="1:13" ht="33.75" outlineLevel="3" x14ac:dyDescent="0.2">
      <c r="B3134" s="4" t="str">
        <f>"0003830030"</f>
        <v>0003830030</v>
      </c>
      <c r="C3134" s="5" t="str">
        <f>"038507"</f>
        <v>038507</v>
      </c>
      <c r="D3134" s="12" t="s">
        <v>493</v>
      </c>
      <c r="E3134" s="14" t="s">
        <v>82</v>
      </c>
      <c r="F3134" s="12" t="s">
        <v>3</v>
      </c>
      <c r="G3134" s="15">
        <v>28</v>
      </c>
      <c r="H3134" s="12" t="s">
        <v>491</v>
      </c>
      <c r="I3134" s="12" t="s">
        <v>58</v>
      </c>
      <c r="K3134" s="16">
        <v>3.83</v>
      </c>
      <c r="L3134" s="16">
        <v>6.11</v>
      </c>
      <c r="M3134" s="16">
        <v>7.61</v>
      </c>
    </row>
    <row r="3135" spans="1:13" outlineLevel="2" x14ac:dyDescent="0.2"/>
    <row r="3136" spans="1:13" ht="33.75" outlineLevel="3" x14ac:dyDescent="0.2">
      <c r="B3136" s="4" t="str">
        <f>"0003830100"</f>
        <v>0003830100</v>
      </c>
      <c r="C3136" s="5" t="str">
        <f>"009064"</f>
        <v>009064</v>
      </c>
      <c r="D3136" s="12" t="s">
        <v>494</v>
      </c>
      <c r="E3136" s="14" t="s">
        <v>82</v>
      </c>
      <c r="F3136" s="12" t="s">
        <v>3</v>
      </c>
      <c r="G3136" s="15">
        <v>100</v>
      </c>
      <c r="H3136" s="12" t="s">
        <v>491</v>
      </c>
      <c r="I3136" s="12" t="s">
        <v>5</v>
      </c>
      <c r="K3136" s="16">
        <v>12.22</v>
      </c>
      <c r="L3136" s="16">
        <v>19.16</v>
      </c>
      <c r="M3136" s="16">
        <v>20.66</v>
      </c>
    </row>
    <row r="3137" spans="2:13" ht="33.75" outlineLevel="3" x14ac:dyDescent="0.2">
      <c r="B3137" s="4" t="str">
        <f>"0003830100"</f>
        <v>0003830100</v>
      </c>
      <c r="C3137" s="5" t="str">
        <f>"010132"</f>
        <v>010132</v>
      </c>
      <c r="D3137" s="12" t="s">
        <v>490</v>
      </c>
      <c r="E3137" s="14" t="s">
        <v>82</v>
      </c>
      <c r="F3137" s="12" t="s">
        <v>3</v>
      </c>
      <c r="G3137" s="15">
        <v>100</v>
      </c>
      <c r="H3137" s="12" t="s">
        <v>491</v>
      </c>
      <c r="I3137" s="12" t="s">
        <v>492</v>
      </c>
      <c r="K3137" s="16">
        <v>12.22</v>
      </c>
      <c r="L3137" s="16">
        <v>19.16</v>
      </c>
      <c r="M3137" s="16">
        <v>20.66</v>
      </c>
    </row>
    <row r="3138" spans="2:13" ht="33.75" outlineLevel="3" x14ac:dyDescent="0.2">
      <c r="B3138" s="4" t="str">
        <f>"0003830100"</f>
        <v>0003830100</v>
      </c>
      <c r="C3138" s="5" t="str">
        <f>"038516"</f>
        <v>038516</v>
      </c>
      <c r="D3138" s="12" t="s">
        <v>493</v>
      </c>
      <c r="E3138" s="14" t="s">
        <v>82</v>
      </c>
      <c r="F3138" s="12" t="s">
        <v>3</v>
      </c>
      <c r="G3138" s="15">
        <v>98</v>
      </c>
      <c r="H3138" s="12" t="s">
        <v>491</v>
      </c>
      <c r="I3138" s="12" t="s">
        <v>58</v>
      </c>
      <c r="K3138" s="16">
        <v>12.22</v>
      </c>
      <c r="L3138" s="16">
        <v>19.16</v>
      </c>
      <c r="M3138" s="16">
        <v>20.66</v>
      </c>
    </row>
    <row r="3139" spans="2:13" ht="33.75" outlineLevel="3" x14ac:dyDescent="0.2">
      <c r="B3139" s="4" t="str">
        <f>"0003830100"</f>
        <v>0003830100</v>
      </c>
      <c r="C3139" s="5" t="str">
        <f>"578081"</f>
        <v>578081</v>
      </c>
      <c r="D3139" s="12" t="s">
        <v>493</v>
      </c>
      <c r="E3139" s="14" t="s">
        <v>82</v>
      </c>
      <c r="F3139" s="12" t="s">
        <v>3</v>
      </c>
      <c r="G3139" s="15">
        <v>100</v>
      </c>
      <c r="H3139" s="12" t="s">
        <v>491</v>
      </c>
      <c r="I3139" s="12" t="s">
        <v>58</v>
      </c>
      <c r="K3139" s="16">
        <v>12.22</v>
      </c>
      <c r="L3139" s="16">
        <v>19.16</v>
      </c>
      <c r="M3139" s="16">
        <v>20.66</v>
      </c>
    </row>
    <row r="3140" spans="2:13" outlineLevel="2" x14ac:dyDescent="0.2"/>
    <row r="3141" spans="2:13" ht="33.75" outlineLevel="3" x14ac:dyDescent="0.2">
      <c r="B3141" s="4" t="str">
        <f>"0003830250"</f>
        <v>0003830250</v>
      </c>
      <c r="C3141" s="5" t="str">
        <f>"443822"</f>
        <v>443822</v>
      </c>
      <c r="D3141" s="12" t="s">
        <v>494</v>
      </c>
      <c r="E3141" s="14" t="s">
        <v>82</v>
      </c>
      <c r="F3141" s="12" t="s">
        <v>3</v>
      </c>
      <c r="G3141" s="15">
        <v>250</v>
      </c>
      <c r="H3141" s="12" t="s">
        <v>491</v>
      </c>
      <c r="I3141" s="12" t="s">
        <v>5</v>
      </c>
      <c r="K3141" s="16">
        <v>26.98</v>
      </c>
      <c r="L3141" s="16">
        <v>41.07</v>
      </c>
      <c r="M3141" s="16">
        <v>43.07</v>
      </c>
    </row>
    <row r="3142" spans="2:13" outlineLevel="2" x14ac:dyDescent="0.2"/>
    <row r="3143" spans="2:13" ht="33.75" outlineLevel="3" x14ac:dyDescent="0.2">
      <c r="B3143" s="4" t="str">
        <f>"0003840030"</f>
        <v>0003840030</v>
      </c>
      <c r="C3143" s="5" t="str">
        <f>"009419"</f>
        <v>009419</v>
      </c>
      <c r="D3143" s="12" t="s">
        <v>494</v>
      </c>
      <c r="E3143" s="14" t="s">
        <v>14</v>
      </c>
      <c r="F3143" s="12" t="s">
        <v>3</v>
      </c>
      <c r="G3143" s="15">
        <v>30</v>
      </c>
      <c r="H3143" s="12" t="s">
        <v>491</v>
      </c>
      <c r="I3143" s="12" t="s">
        <v>5</v>
      </c>
      <c r="K3143" s="16">
        <v>6.65</v>
      </c>
      <c r="L3143" s="16">
        <v>10.6</v>
      </c>
      <c r="M3143" s="16">
        <v>10.6</v>
      </c>
    </row>
    <row r="3144" spans="2:13" ht="33.75" outlineLevel="3" x14ac:dyDescent="0.2">
      <c r="B3144" s="4" t="str">
        <f>"0003840030"</f>
        <v>0003840030</v>
      </c>
      <c r="C3144" s="5" t="str">
        <f>"010298"</f>
        <v>010298</v>
      </c>
      <c r="D3144" s="12" t="s">
        <v>490</v>
      </c>
      <c r="E3144" s="14" t="s">
        <v>14</v>
      </c>
      <c r="F3144" s="12" t="s">
        <v>3</v>
      </c>
      <c r="G3144" s="15">
        <v>28</v>
      </c>
      <c r="H3144" s="12" t="s">
        <v>491</v>
      </c>
      <c r="I3144" s="12" t="s">
        <v>492</v>
      </c>
      <c r="K3144" s="16">
        <v>6.65</v>
      </c>
      <c r="L3144" s="16">
        <v>10.6</v>
      </c>
      <c r="M3144" s="16">
        <v>10.6</v>
      </c>
    </row>
    <row r="3145" spans="2:13" ht="33.75" outlineLevel="3" x14ac:dyDescent="0.2">
      <c r="B3145" s="4" t="str">
        <f>"0003840030"</f>
        <v>0003840030</v>
      </c>
      <c r="C3145" s="5" t="str">
        <f>"038525"</f>
        <v>038525</v>
      </c>
      <c r="D3145" s="12" t="s">
        <v>493</v>
      </c>
      <c r="E3145" s="14" t="s">
        <v>14</v>
      </c>
      <c r="F3145" s="12" t="s">
        <v>3</v>
      </c>
      <c r="G3145" s="15">
        <v>28</v>
      </c>
      <c r="H3145" s="12" t="s">
        <v>491</v>
      </c>
      <c r="I3145" s="12" t="s">
        <v>58</v>
      </c>
      <c r="K3145" s="16">
        <v>6.65</v>
      </c>
      <c r="L3145" s="16">
        <v>10.6</v>
      </c>
      <c r="M3145" s="16">
        <v>10.6</v>
      </c>
    </row>
    <row r="3146" spans="2:13" ht="33.75" outlineLevel="3" x14ac:dyDescent="0.2">
      <c r="B3146" s="4" t="str">
        <f>"0003840030"</f>
        <v>0003840030</v>
      </c>
      <c r="C3146" s="5" t="str">
        <f>"068797"</f>
        <v>068797</v>
      </c>
      <c r="D3146" s="12" t="s">
        <v>495</v>
      </c>
      <c r="E3146" s="14" t="s">
        <v>14</v>
      </c>
      <c r="F3146" s="12" t="s">
        <v>3</v>
      </c>
      <c r="G3146" s="15">
        <v>30</v>
      </c>
      <c r="H3146" s="12" t="s">
        <v>491</v>
      </c>
      <c r="I3146" s="12" t="s">
        <v>64</v>
      </c>
      <c r="K3146" s="16">
        <v>5.7</v>
      </c>
      <c r="L3146" s="16">
        <v>9.1</v>
      </c>
      <c r="M3146" s="16">
        <v>10.6</v>
      </c>
    </row>
    <row r="3147" spans="2:13" outlineLevel="2" x14ac:dyDescent="0.2"/>
    <row r="3148" spans="2:13" ht="33.75" outlineLevel="3" x14ac:dyDescent="0.2">
      <c r="B3148" s="4" t="str">
        <f>"0003840100"</f>
        <v>0003840100</v>
      </c>
      <c r="C3148" s="5" t="str">
        <f>"009395"</f>
        <v>009395</v>
      </c>
      <c r="D3148" s="12" t="s">
        <v>494</v>
      </c>
      <c r="E3148" s="14" t="s">
        <v>14</v>
      </c>
      <c r="F3148" s="12" t="s">
        <v>3</v>
      </c>
      <c r="G3148" s="15">
        <v>100</v>
      </c>
      <c r="H3148" s="12" t="s">
        <v>491</v>
      </c>
      <c r="I3148" s="12" t="s">
        <v>5</v>
      </c>
      <c r="K3148" s="16">
        <v>9.2100000000000009</v>
      </c>
      <c r="L3148" s="16">
        <v>14.69</v>
      </c>
      <c r="M3148" s="16">
        <v>14.69</v>
      </c>
    </row>
    <row r="3149" spans="2:13" ht="33.75" outlineLevel="3" x14ac:dyDescent="0.2">
      <c r="B3149" s="4" t="str">
        <f>"0003840100"</f>
        <v>0003840100</v>
      </c>
      <c r="C3149" s="5" t="str">
        <f>"010603"</f>
        <v>010603</v>
      </c>
      <c r="D3149" s="12" t="s">
        <v>490</v>
      </c>
      <c r="E3149" s="14" t="s">
        <v>14</v>
      </c>
      <c r="F3149" s="12" t="s">
        <v>3</v>
      </c>
      <c r="G3149" s="15">
        <v>98</v>
      </c>
      <c r="H3149" s="12" t="s">
        <v>491</v>
      </c>
      <c r="I3149" s="12" t="s">
        <v>492</v>
      </c>
      <c r="K3149" s="16">
        <v>9.2100000000000009</v>
      </c>
      <c r="L3149" s="16">
        <v>14.69</v>
      </c>
      <c r="M3149" s="16">
        <v>14.69</v>
      </c>
    </row>
    <row r="3150" spans="2:13" ht="33.75" outlineLevel="3" x14ac:dyDescent="0.2">
      <c r="B3150" s="4" t="str">
        <f>"0003840100"</f>
        <v>0003840100</v>
      </c>
      <c r="C3150" s="5" t="str">
        <f>"038534"</f>
        <v>038534</v>
      </c>
      <c r="D3150" s="12" t="s">
        <v>493</v>
      </c>
      <c r="E3150" s="14" t="s">
        <v>14</v>
      </c>
      <c r="F3150" s="12" t="s">
        <v>3</v>
      </c>
      <c r="G3150" s="15">
        <v>98</v>
      </c>
      <c r="H3150" s="12" t="s">
        <v>491</v>
      </c>
      <c r="I3150" s="12" t="s">
        <v>58</v>
      </c>
      <c r="K3150" s="16">
        <v>9.2100000000000009</v>
      </c>
      <c r="L3150" s="16">
        <v>14.69</v>
      </c>
      <c r="M3150" s="16">
        <v>14.69</v>
      </c>
    </row>
    <row r="3151" spans="2:13" ht="33.75" outlineLevel="3" x14ac:dyDescent="0.2">
      <c r="B3151" s="4" t="str">
        <f>"0003840100"</f>
        <v>0003840100</v>
      </c>
      <c r="C3151" s="5" t="str">
        <f>"427983"</f>
        <v>427983</v>
      </c>
      <c r="D3151" s="12" t="s">
        <v>493</v>
      </c>
      <c r="E3151" s="14" t="s">
        <v>14</v>
      </c>
      <c r="F3151" s="12" t="s">
        <v>3</v>
      </c>
      <c r="G3151" s="15">
        <v>100</v>
      </c>
      <c r="H3151" s="12" t="s">
        <v>491</v>
      </c>
      <c r="I3151" s="12" t="s">
        <v>58</v>
      </c>
      <c r="K3151" s="16">
        <v>9.2100000000000009</v>
      </c>
      <c r="L3151" s="16">
        <v>14.69</v>
      </c>
      <c r="M3151" s="16">
        <v>14.69</v>
      </c>
    </row>
    <row r="3152" spans="2:13" ht="33.75" outlineLevel="3" x14ac:dyDescent="0.2">
      <c r="B3152" s="4" t="str">
        <f>"0003840100"</f>
        <v>0003840100</v>
      </c>
      <c r="C3152" s="5" t="str">
        <f>"516687"</f>
        <v>516687</v>
      </c>
      <c r="D3152" s="12" t="s">
        <v>495</v>
      </c>
      <c r="E3152" s="14" t="s">
        <v>14</v>
      </c>
      <c r="F3152" s="12" t="s">
        <v>3</v>
      </c>
      <c r="G3152" s="15">
        <v>100</v>
      </c>
      <c r="H3152" s="12" t="s">
        <v>491</v>
      </c>
      <c r="I3152" s="12" t="s">
        <v>64</v>
      </c>
      <c r="K3152" s="16">
        <v>8.27</v>
      </c>
      <c r="L3152" s="16">
        <v>13.19</v>
      </c>
      <c r="M3152" s="16">
        <v>14.69</v>
      </c>
    </row>
    <row r="3153" spans="1:13" outlineLevel="2" x14ac:dyDescent="0.2"/>
    <row r="3154" spans="1:13" ht="33.75" outlineLevel="3" x14ac:dyDescent="0.2">
      <c r="B3154" s="4" t="str">
        <f>"0003840250"</f>
        <v>0003840250</v>
      </c>
      <c r="C3154" s="5" t="str">
        <f>"099797"</f>
        <v>099797</v>
      </c>
      <c r="D3154" s="12" t="s">
        <v>494</v>
      </c>
      <c r="E3154" s="14" t="s">
        <v>14</v>
      </c>
      <c r="F3154" s="12" t="s">
        <v>3</v>
      </c>
      <c r="G3154" s="15">
        <v>250</v>
      </c>
      <c r="H3154" s="12" t="s">
        <v>491</v>
      </c>
      <c r="I3154" s="12" t="s">
        <v>5</v>
      </c>
      <c r="K3154" s="16">
        <v>23.03</v>
      </c>
      <c r="L3154" s="16">
        <v>35.21</v>
      </c>
      <c r="M3154" s="16">
        <v>36.71</v>
      </c>
    </row>
    <row r="3155" spans="1:13" outlineLevel="2" x14ac:dyDescent="0.2"/>
    <row r="3156" spans="1:13" ht="33.75" outlineLevel="3" x14ac:dyDescent="0.2">
      <c r="B3156" s="4" t="str">
        <f>"0003860030"</f>
        <v>0003860030</v>
      </c>
      <c r="C3156" s="5" t="str">
        <f>"009441"</f>
        <v>009441</v>
      </c>
      <c r="D3156" s="12" t="s">
        <v>494</v>
      </c>
      <c r="E3156" s="14" t="s">
        <v>98</v>
      </c>
      <c r="F3156" s="12" t="s">
        <v>3</v>
      </c>
      <c r="G3156" s="15">
        <v>30</v>
      </c>
      <c r="H3156" s="12" t="s">
        <v>491</v>
      </c>
      <c r="I3156" s="12" t="s">
        <v>5</v>
      </c>
      <c r="J3156" s="2" t="s">
        <v>1400</v>
      </c>
      <c r="K3156" s="16">
        <v>14.63</v>
      </c>
      <c r="L3156" s="16">
        <v>22.74</v>
      </c>
      <c r="M3156" s="16">
        <v>22.8</v>
      </c>
    </row>
    <row r="3157" spans="1:13" ht="33.75" outlineLevel="3" x14ac:dyDescent="0.2">
      <c r="B3157" s="4" t="str">
        <f>"0003860030"</f>
        <v>0003860030</v>
      </c>
      <c r="C3157" s="5" t="str">
        <f>"010702"</f>
        <v>010702</v>
      </c>
      <c r="D3157" s="12" t="s">
        <v>490</v>
      </c>
      <c r="E3157" s="14" t="s">
        <v>98</v>
      </c>
      <c r="F3157" s="12" t="s">
        <v>3</v>
      </c>
      <c r="G3157" s="15">
        <v>28</v>
      </c>
      <c r="H3157" s="12" t="s">
        <v>491</v>
      </c>
      <c r="I3157" s="12" t="s">
        <v>492</v>
      </c>
      <c r="K3157" s="16">
        <v>13.66</v>
      </c>
      <c r="L3157" s="16">
        <v>21.3</v>
      </c>
      <c r="M3157" s="16">
        <v>22.8</v>
      </c>
    </row>
    <row r="3158" spans="1:13" ht="33.75" outlineLevel="3" x14ac:dyDescent="0.2">
      <c r="B3158" s="4" t="str">
        <f>"0003860030"</f>
        <v>0003860030</v>
      </c>
      <c r="C3158" s="5" t="str">
        <f>"038543"</f>
        <v>038543</v>
      </c>
      <c r="D3158" s="12" t="s">
        <v>493</v>
      </c>
      <c r="E3158" s="14" t="s">
        <v>98</v>
      </c>
      <c r="F3158" s="12" t="s">
        <v>3</v>
      </c>
      <c r="G3158" s="15">
        <v>28</v>
      </c>
      <c r="H3158" s="12" t="s">
        <v>491</v>
      </c>
      <c r="I3158" s="12" t="s">
        <v>58</v>
      </c>
      <c r="K3158" s="16">
        <v>13.66</v>
      </c>
      <c r="L3158" s="16">
        <v>21.3</v>
      </c>
      <c r="M3158" s="16">
        <v>22.8</v>
      </c>
    </row>
    <row r="3159" spans="1:13" outlineLevel="2" x14ac:dyDescent="0.2"/>
    <row r="3160" spans="1:13" ht="33.75" outlineLevel="3" x14ac:dyDescent="0.2">
      <c r="B3160" s="4" t="str">
        <f>"0003860100"</f>
        <v>0003860100</v>
      </c>
      <c r="C3160" s="5" t="str">
        <f>"009428"</f>
        <v>009428</v>
      </c>
      <c r="D3160" s="12" t="s">
        <v>494</v>
      </c>
      <c r="E3160" s="14" t="s">
        <v>98</v>
      </c>
      <c r="F3160" s="12" t="s">
        <v>3</v>
      </c>
      <c r="G3160" s="15">
        <v>100</v>
      </c>
      <c r="H3160" s="12" t="s">
        <v>491</v>
      </c>
      <c r="I3160" s="12" t="s">
        <v>5</v>
      </c>
      <c r="K3160" s="16">
        <v>10.26</v>
      </c>
      <c r="L3160" s="16">
        <v>16.25</v>
      </c>
      <c r="M3160" s="16">
        <v>16.25</v>
      </c>
    </row>
    <row r="3161" spans="1:13" ht="33.75" outlineLevel="3" x14ac:dyDescent="0.2">
      <c r="B3161" s="4" t="str">
        <f>"0003860100"</f>
        <v>0003860100</v>
      </c>
      <c r="C3161" s="5" t="str">
        <f>"010884"</f>
        <v>010884</v>
      </c>
      <c r="D3161" s="12" t="s">
        <v>490</v>
      </c>
      <c r="E3161" s="14" t="s">
        <v>98</v>
      </c>
      <c r="F3161" s="12" t="s">
        <v>3</v>
      </c>
      <c r="G3161" s="15">
        <v>100</v>
      </c>
      <c r="H3161" s="12" t="s">
        <v>491</v>
      </c>
      <c r="I3161" s="12" t="s">
        <v>492</v>
      </c>
      <c r="K3161" s="16">
        <v>10.26</v>
      </c>
      <c r="L3161" s="16">
        <v>16.25</v>
      </c>
      <c r="M3161" s="16">
        <v>16.25</v>
      </c>
    </row>
    <row r="3162" spans="1:13" ht="33.75" outlineLevel="3" x14ac:dyDescent="0.2">
      <c r="B3162" s="4" t="str">
        <f>"0003860100"</f>
        <v>0003860100</v>
      </c>
      <c r="C3162" s="5" t="str">
        <f>"038552"</f>
        <v>038552</v>
      </c>
      <c r="D3162" s="12" t="s">
        <v>493</v>
      </c>
      <c r="E3162" s="14" t="s">
        <v>98</v>
      </c>
      <c r="F3162" s="12" t="s">
        <v>3</v>
      </c>
      <c r="G3162" s="15">
        <v>98</v>
      </c>
      <c r="H3162" s="12" t="s">
        <v>491</v>
      </c>
      <c r="I3162" s="12" t="s">
        <v>58</v>
      </c>
      <c r="K3162" s="16">
        <v>10.26</v>
      </c>
      <c r="L3162" s="16">
        <v>16.25</v>
      </c>
      <c r="M3162" s="16">
        <v>16.25</v>
      </c>
    </row>
    <row r="3163" spans="1:13" ht="33.75" outlineLevel="3" x14ac:dyDescent="0.2">
      <c r="B3163" s="4" t="str">
        <f>"0003860100"</f>
        <v>0003860100</v>
      </c>
      <c r="C3163" s="5" t="str">
        <f>"059722"</f>
        <v>059722</v>
      </c>
      <c r="D3163" s="12" t="s">
        <v>495</v>
      </c>
      <c r="E3163" s="14" t="s">
        <v>98</v>
      </c>
      <c r="F3163" s="12" t="s">
        <v>3</v>
      </c>
      <c r="G3163" s="15">
        <v>100</v>
      </c>
      <c r="H3163" s="12" t="s">
        <v>491</v>
      </c>
      <c r="I3163" s="12" t="s">
        <v>64</v>
      </c>
      <c r="K3163" s="16">
        <v>9.25</v>
      </c>
      <c r="L3163" s="16">
        <v>14.75</v>
      </c>
      <c r="M3163" s="16">
        <v>16.25</v>
      </c>
    </row>
    <row r="3164" spans="1:13" outlineLevel="1" x14ac:dyDescent="0.2">
      <c r="A3164" s="3"/>
    </row>
    <row r="3165" spans="1:13" outlineLevel="2" x14ac:dyDescent="0.2">
      <c r="A3165" s="3" t="s">
        <v>1568</v>
      </c>
    </row>
    <row r="3166" spans="1:13" ht="33.75" outlineLevel="3" x14ac:dyDescent="0.2">
      <c r="B3166" s="4" t="str">
        <f>"0003880020"</f>
        <v>0003880020</v>
      </c>
      <c r="C3166" s="5" t="str">
        <f>"003953"</f>
        <v>003953</v>
      </c>
      <c r="D3166" s="12" t="s">
        <v>496</v>
      </c>
      <c r="E3166" s="14" t="s">
        <v>14</v>
      </c>
      <c r="F3166" s="12" t="s">
        <v>3</v>
      </c>
      <c r="G3166" s="15">
        <v>20</v>
      </c>
      <c r="H3166" s="12" t="s">
        <v>497</v>
      </c>
      <c r="I3166" s="12" t="s">
        <v>62</v>
      </c>
      <c r="K3166" s="16">
        <v>3.45</v>
      </c>
      <c r="L3166" s="16">
        <v>5.5</v>
      </c>
      <c r="M3166" s="16">
        <v>7</v>
      </c>
    </row>
    <row r="3167" spans="1:13" ht="33.75" outlineLevel="3" x14ac:dyDescent="0.2">
      <c r="B3167" s="4" t="str">
        <f>"0003880020"</f>
        <v>0003880020</v>
      </c>
      <c r="C3167" s="5" t="str">
        <f>"047490"</f>
        <v>047490</v>
      </c>
      <c r="D3167" s="12" t="s">
        <v>498</v>
      </c>
      <c r="E3167" s="14" t="s">
        <v>14</v>
      </c>
      <c r="F3167" s="12" t="s">
        <v>3</v>
      </c>
      <c r="G3167" s="15">
        <v>20</v>
      </c>
      <c r="H3167" s="12" t="s">
        <v>497</v>
      </c>
      <c r="I3167" s="12" t="s">
        <v>104</v>
      </c>
      <c r="K3167" s="16">
        <v>3.45</v>
      </c>
      <c r="L3167" s="16">
        <v>5.5</v>
      </c>
      <c r="M3167" s="16">
        <v>7</v>
      </c>
    </row>
    <row r="3168" spans="1:13" outlineLevel="2" x14ac:dyDescent="0.2"/>
    <row r="3169" spans="1:13" ht="33.75" outlineLevel="3" x14ac:dyDescent="0.2">
      <c r="B3169" s="4" t="str">
        <f>"0003880060"</f>
        <v>0003880060</v>
      </c>
      <c r="C3169" s="5" t="str">
        <f>"003998"</f>
        <v>003998</v>
      </c>
      <c r="D3169" s="12" t="s">
        <v>496</v>
      </c>
      <c r="E3169" s="14" t="s">
        <v>14</v>
      </c>
      <c r="F3169" s="12" t="s">
        <v>3</v>
      </c>
      <c r="G3169" s="15">
        <v>60</v>
      </c>
      <c r="H3169" s="12" t="s">
        <v>497</v>
      </c>
      <c r="I3169" s="12" t="s">
        <v>62</v>
      </c>
      <c r="K3169" s="16">
        <v>9.6</v>
      </c>
      <c r="L3169" s="16">
        <v>15.27</v>
      </c>
      <c r="M3169" s="16">
        <v>16.77</v>
      </c>
    </row>
    <row r="3170" spans="1:13" ht="33.75" outlineLevel="3" x14ac:dyDescent="0.2">
      <c r="B3170" s="4" t="str">
        <f>"0003880060"</f>
        <v>0003880060</v>
      </c>
      <c r="C3170" s="5" t="str">
        <f>"038257"</f>
        <v>038257</v>
      </c>
      <c r="D3170" s="12" t="s">
        <v>499</v>
      </c>
      <c r="E3170" s="14" t="s">
        <v>14</v>
      </c>
      <c r="F3170" s="12" t="s">
        <v>3</v>
      </c>
      <c r="G3170" s="15">
        <v>60</v>
      </c>
      <c r="H3170" s="12" t="s">
        <v>497</v>
      </c>
      <c r="I3170" s="12" t="s">
        <v>280</v>
      </c>
      <c r="K3170" s="16">
        <v>9.6</v>
      </c>
      <c r="L3170" s="16">
        <v>15.27</v>
      </c>
      <c r="M3170" s="16">
        <v>16.77</v>
      </c>
    </row>
    <row r="3171" spans="1:13" ht="33.75" outlineLevel="3" x14ac:dyDescent="0.2">
      <c r="B3171" s="4" t="str">
        <f>"0003880060"</f>
        <v>0003880060</v>
      </c>
      <c r="C3171" s="5" t="str">
        <f>"047501"</f>
        <v>047501</v>
      </c>
      <c r="D3171" s="12" t="s">
        <v>498</v>
      </c>
      <c r="E3171" s="14" t="s">
        <v>14</v>
      </c>
      <c r="F3171" s="12" t="s">
        <v>3</v>
      </c>
      <c r="G3171" s="15">
        <v>60</v>
      </c>
      <c r="H3171" s="12" t="s">
        <v>497</v>
      </c>
      <c r="I3171" s="12" t="s">
        <v>104</v>
      </c>
      <c r="K3171" s="16">
        <v>9.6</v>
      </c>
      <c r="L3171" s="16">
        <v>15.27</v>
      </c>
      <c r="M3171" s="16">
        <v>16.77</v>
      </c>
    </row>
    <row r="3172" spans="1:13" outlineLevel="2" x14ac:dyDescent="0.2"/>
    <row r="3173" spans="1:13" ht="33.75" outlineLevel="3" x14ac:dyDescent="0.2">
      <c r="B3173" s="4" t="str">
        <f>"0003880100"</f>
        <v>0003880100</v>
      </c>
      <c r="C3173" s="5" t="str">
        <f>"004020"</f>
        <v>004020</v>
      </c>
      <c r="D3173" s="12" t="s">
        <v>496</v>
      </c>
      <c r="E3173" s="14" t="s">
        <v>14</v>
      </c>
      <c r="F3173" s="12" t="s">
        <v>3</v>
      </c>
      <c r="G3173" s="15">
        <v>100</v>
      </c>
      <c r="H3173" s="12" t="s">
        <v>497</v>
      </c>
      <c r="I3173" s="12" t="s">
        <v>62</v>
      </c>
      <c r="K3173" s="16">
        <v>15.54</v>
      </c>
      <c r="L3173" s="16">
        <v>24.09</v>
      </c>
      <c r="M3173" s="16">
        <v>25.59</v>
      </c>
    </row>
    <row r="3174" spans="1:13" ht="33.75" outlineLevel="3" x14ac:dyDescent="0.2">
      <c r="B3174" s="4" t="str">
        <f>"0003880100"</f>
        <v>0003880100</v>
      </c>
      <c r="C3174" s="5" t="str">
        <f>"038448"</f>
        <v>038448</v>
      </c>
      <c r="D3174" s="12" t="s">
        <v>499</v>
      </c>
      <c r="E3174" s="14" t="s">
        <v>14</v>
      </c>
      <c r="F3174" s="12" t="s">
        <v>3</v>
      </c>
      <c r="G3174" s="15">
        <v>100</v>
      </c>
      <c r="H3174" s="12" t="s">
        <v>497</v>
      </c>
      <c r="I3174" s="12" t="s">
        <v>280</v>
      </c>
      <c r="K3174" s="16">
        <v>15.54</v>
      </c>
      <c r="L3174" s="16">
        <v>24.09</v>
      </c>
      <c r="M3174" s="16">
        <v>25.59</v>
      </c>
    </row>
    <row r="3175" spans="1:13" ht="33.75" outlineLevel="3" x14ac:dyDescent="0.2">
      <c r="B3175" s="4" t="str">
        <f>"0003880100"</f>
        <v>0003880100</v>
      </c>
      <c r="C3175" s="5" t="str">
        <f>"047512"</f>
        <v>047512</v>
      </c>
      <c r="D3175" s="12" t="s">
        <v>498</v>
      </c>
      <c r="E3175" s="14" t="s">
        <v>14</v>
      </c>
      <c r="F3175" s="12" t="s">
        <v>3</v>
      </c>
      <c r="G3175" s="15">
        <v>100</v>
      </c>
      <c r="H3175" s="12" t="s">
        <v>497</v>
      </c>
      <c r="I3175" s="12" t="s">
        <v>104</v>
      </c>
      <c r="K3175" s="16">
        <v>15.54</v>
      </c>
      <c r="L3175" s="16">
        <v>24.09</v>
      </c>
      <c r="M3175" s="16">
        <v>25.59</v>
      </c>
    </row>
    <row r="3176" spans="1:13" ht="33.75" outlineLevel="3" x14ac:dyDescent="0.2">
      <c r="B3176" s="4" t="str">
        <f>"0003880100"</f>
        <v>0003880100</v>
      </c>
      <c r="C3176" s="5" t="str">
        <f>"135661"</f>
        <v>135661</v>
      </c>
      <c r="D3176" s="12" t="s">
        <v>500</v>
      </c>
      <c r="E3176" s="14" t="s">
        <v>14</v>
      </c>
      <c r="F3176" s="12" t="s">
        <v>3</v>
      </c>
      <c r="G3176" s="15">
        <v>100</v>
      </c>
      <c r="H3176" s="12" t="s">
        <v>497</v>
      </c>
      <c r="I3176" s="12" t="s">
        <v>5</v>
      </c>
      <c r="K3176" s="16">
        <v>15.54</v>
      </c>
      <c r="L3176" s="16">
        <v>24.09</v>
      </c>
      <c r="M3176" s="16">
        <v>25.59</v>
      </c>
    </row>
    <row r="3177" spans="1:13" outlineLevel="1" x14ac:dyDescent="0.2">
      <c r="A3177" s="3"/>
    </row>
    <row r="3178" spans="1:13" outlineLevel="2" x14ac:dyDescent="0.2">
      <c r="A3178" s="3" t="s">
        <v>1569</v>
      </c>
    </row>
    <row r="3179" spans="1:13" ht="33.75" outlineLevel="3" x14ac:dyDescent="0.2">
      <c r="B3179" s="4" t="str">
        <f>"0005930030"</f>
        <v>0005930030</v>
      </c>
      <c r="C3179" s="5" t="str">
        <f>"024485"</f>
        <v>024485</v>
      </c>
      <c r="D3179" s="12" t="s">
        <v>724</v>
      </c>
      <c r="E3179" s="14" t="s">
        <v>106</v>
      </c>
      <c r="F3179" s="12" t="s">
        <v>3</v>
      </c>
      <c r="G3179" s="15">
        <v>30</v>
      </c>
      <c r="H3179" s="12" t="s">
        <v>723</v>
      </c>
      <c r="I3179" s="12" t="s">
        <v>30</v>
      </c>
      <c r="K3179" s="16">
        <v>5.7</v>
      </c>
      <c r="L3179" s="16">
        <v>9.1</v>
      </c>
      <c r="M3179" s="16">
        <v>10.6</v>
      </c>
    </row>
    <row r="3180" spans="1:13" ht="33.75" outlineLevel="3" x14ac:dyDescent="0.2">
      <c r="B3180" s="4" t="str">
        <f>"0005930030"</f>
        <v>0005930030</v>
      </c>
      <c r="C3180" s="5" t="str">
        <f>"459569"</f>
        <v>459569</v>
      </c>
      <c r="D3180" s="12" t="s">
        <v>725</v>
      </c>
      <c r="E3180" s="14" t="s">
        <v>106</v>
      </c>
      <c r="F3180" s="12" t="s">
        <v>3</v>
      </c>
      <c r="G3180" s="15">
        <v>30</v>
      </c>
      <c r="H3180" s="12" t="s">
        <v>723</v>
      </c>
      <c r="I3180" s="12" t="s">
        <v>62</v>
      </c>
      <c r="K3180" s="16">
        <v>5.7</v>
      </c>
      <c r="L3180" s="16">
        <v>9.1</v>
      </c>
      <c r="M3180" s="16">
        <v>10.6</v>
      </c>
    </row>
    <row r="3181" spans="1:13" ht="33.75" outlineLevel="3" x14ac:dyDescent="0.2">
      <c r="B3181" s="4" t="str">
        <f>"0005930030"</f>
        <v>0005930030</v>
      </c>
      <c r="C3181" s="5" t="str">
        <f>"493276"</f>
        <v>493276</v>
      </c>
      <c r="D3181" s="12" t="s">
        <v>726</v>
      </c>
      <c r="E3181" s="14" t="s">
        <v>106</v>
      </c>
      <c r="F3181" s="12" t="s">
        <v>3</v>
      </c>
      <c r="G3181" s="15">
        <v>30</v>
      </c>
      <c r="H3181" s="12" t="s">
        <v>723</v>
      </c>
      <c r="I3181" s="12" t="s">
        <v>104</v>
      </c>
      <c r="K3181" s="16">
        <v>5.7</v>
      </c>
      <c r="L3181" s="16">
        <v>9.1</v>
      </c>
      <c r="M3181" s="16">
        <v>10.6</v>
      </c>
    </row>
    <row r="3182" spans="1:13" ht="33.75" outlineLevel="3" x14ac:dyDescent="0.2">
      <c r="B3182" s="4" t="str">
        <f>"0005930030"</f>
        <v>0005930030</v>
      </c>
      <c r="C3182" s="5" t="str">
        <f>"502144"</f>
        <v>502144</v>
      </c>
      <c r="D3182" s="12" t="s">
        <v>727</v>
      </c>
      <c r="E3182" s="14" t="s">
        <v>106</v>
      </c>
      <c r="F3182" s="12" t="s">
        <v>3</v>
      </c>
      <c r="G3182" s="15">
        <v>30</v>
      </c>
      <c r="H3182" s="12" t="s">
        <v>723</v>
      </c>
      <c r="I3182" s="12" t="s">
        <v>298</v>
      </c>
      <c r="K3182" s="16">
        <v>5.7</v>
      </c>
      <c r="L3182" s="16">
        <v>9.1</v>
      </c>
      <c r="M3182" s="16">
        <v>10.6</v>
      </c>
    </row>
    <row r="3183" spans="1:13" ht="33.75" outlineLevel="3" x14ac:dyDescent="0.2">
      <c r="B3183" s="4" t="str">
        <f>"0005930030"</f>
        <v>0005930030</v>
      </c>
      <c r="C3183" s="5" t="str">
        <f>"384036"</f>
        <v>384036</v>
      </c>
      <c r="D3183" s="12" t="s">
        <v>722</v>
      </c>
      <c r="E3183" s="14" t="s">
        <v>106</v>
      </c>
      <c r="F3183" s="12" t="s">
        <v>3</v>
      </c>
      <c r="G3183" s="15">
        <v>28</v>
      </c>
      <c r="H3183" s="12" t="s">
        <v>723</v>
      </c>
      <c r="I3183" s="12" t="s">
        <v>240</v>
      </c>
      <c r="J3183" s="2" t="s">
        <v>1400</v>
      </c>
      <c r="K3183" s="16">
        <v>5.32</v>
      </c>
      <c r="L3183" s="16">
        <v>8.48</v>
      </c>
      <c r="M3183" s="16">
        <v>10.6</v>
      </c>
    </row>
    <row r="3184" spans="1:13" outlineLevel="2" x14ac:dyDescent="0.2"/>
    <row r="3185" spans="2:13" ht="33.75" outlineLevel="3" x14ac:dyDescent="0.2">
      <c r="B3185" s="4" t="str">
        <f>"0005930100"</f>
        <v>0005930100</v>
      </c>
      <c r="C3185" s="5" t="str">
        <f>"024366"</f>
        <v>024366</v>
      </c>
      <c r="D3185" s="12" t="s">
        <v>724</v>
      </c>
      <c r="E3185" s="14" t="s">
        <v>106</v>
      </c>
      <c r="F3185" s="12" t="s">
        <v>3</v>
      </c>
      <c r="G3185" s="15" t="s">
        <v>123</v>
      </c>
      <c r="H3185" s="12" t="s">
        <v>723</v>
      </c>
      <c r="I3185" s="12" t="s">
        <v>30</v>
      </c>
      <c r="K3185" s="16">
        <v>17.11</v>
      </c>
      <c r="L3185" s="16">
        <v>26.42</v>
      </c>
      <c r="M3185" s="16">
        <v>27.92</v>
      </c>
    </row>
    <row r="3186" spans="2:13" ht="33.75" outlineLevel="3" x14ac:dyDescent="0.2">
      <c r="B3186" s="4" t="str">
        <f>"0005930100"</f>
        <v>0005930100</v>
      </c>
      <c r="C3186" s="5" t="str">
        <f>"081845"</f>
        <v>081845</v>
      </c>
      <c r="D3186" s="12" t="s">
        <v>727</v>
      </c>
      <c r="E3186" s="14" t="s">
        <v>106</v>
      </c>
      <c r="F3186" s="12" t="s">
        <v>3</v>
      </c>
      <c r="G3186" s="15">
        <v>100</v>
      </c>
      <c r="H3186" s="12" t="s">
        <v>723</v>
      </c>
      <c r="I3186" s="12" t="s">
        <v>298</v>
      </c>
      <c r="K3186" s="16">
        <v>17.11</v>
      </c>
      <c r="L3186" s="16">
        <v>26.42</v>
      </c>
      <c r="M3186" s="16">
        <v>27.92</v>
      </c>
    </row>
    <row r="3187" spans="2:13" ht="33.75" outlineLevel="3" x14ac:dyDescent="0.2">
      <c r="B3187" s="4" t="str">
        <f>"0005930100"</f>
        <v>0005930100</v>
      </c>
      <c r="C3187" s="5" t="str">
        <f>"388419"</f>
        <v>388419</v>
      </c>
      <c r="D3187" s="12" t="s">
        <v>725</v>
      </c>
      <c r="E3187" s="14" t="s">
        <v>106</v>
      </c>
      <c r="F3187" s="12" t="s">
        <v>3</v>
      </c>
      <c r="G3187" s="15">
        <v>100</v>
      </c>
      <c r="H3187" s="12" t="s">
        <v>723</v>
      </c>
      <c r="I3187" s="12" t="s">
        <v>62</v>
      </c>
      <c r="K3187" s="16">
        <v>17.11</v>
      </c>
      <c r="L3187" s="16">
        <v>26.42</v>
      </c>
      <c r="M3187" s="16">
        <v>27.92</v>
      </c>
    </row>
    <row r="3188" spans="2:13" ht="33.75" outlineLevel="3" x14ac:dyDescent="0.2">
      <c r="B3188" s="4" t="str">
        <f>"0005930100"</f>
        <v>0005930100</v>
      </c>
      <c r="C3188" s="5" t="str">
        <f>"560718"</f>
        <v>560718</v>
      </c>
      <c r="D3188" s="12" t="s">
        <v>726</v>
      </c>
      <c r="E3188" s="14" t="s">
        <v>106</v>
      </c>
      <c r="F3188" s="12" t="s">
        <v>3</v>
      </c>
      <c r="G3188" s="15">
        <v>100</v>
      </c>
      <c r="H3188" s="12" t="s">
        <v>723</v>
      </c>
      <c r="I3188" s="12" t="s">
        <v>104</v>
      </c>
      <c r="K3188" s="16">
        <v>17.11</v>
      </c>
      <c r="L3188" s="16">
        <v>26.42</v>
      </c>
      <c r="M3188" s="16">
        <v>27.92</v>
      </c>
    </row>
    <row r="3189" spans="2:13" ht="33.75" outlineLevel="3" x14ac:dyDescent="0.2">
      <c r="B3189" s="4" t="str">
        <f>"0005930100"</f>
        <v>0005930100</v>
      </c>
      <c r="C3189" s="5" t="str">
        <f>"195385"</f>
        <v>195385</v>
      </c>
      <c r="D3189" s="12" t="s">
        <v>722</v>
      </c>
      <c r="E3189" s="14" t="s">
        <v>106</v>
      </c>
      <c r="F3189" s="12" t="s">
        <v>3</v>
      </c>
      <c r="G3189" s="15">
        <v>98</v>
      </c>
      <c r="H3189" s="12" t="s">
        <v>723</v>
      </c>
      <c r="I3189" s="12" t="s">
        <v>240</v>
      </c>
      <c r="J3189" s="2" t="s">
        <v>1400</v>
      </c>
      <c r="K3189" s="16">
        <v>16.77</v>
      </c>
      <c r="L3189" s="16">
        <v>25.92</v>
      </c>
      <c r="M3189" s="16">
        <v>27.92</v>
      </c>
    </row>
    <row r="3190" spans="2:13" outlineLevel="2" x14ac:dyDescent="0.2"/>
    <row r="3191" spans="2:13" ht="33.75" outlineLevel="3" x14ac:dyDescent="0.2">
      <c r="B3191" s="4" t="str">
        <f>"0005930250"</f>
        <v>0005930250</v>
      </c>
      <c r="C3191" s="5" t="str">
        <f>"423138"</f>
        <v>423138</v>
      </c>
      <c r="D3191" s="12" t="s">
        <v>727</v>
      </c>
      <c r="E3191" s="14" t="s">
        <v>106</v>
      </c>
      <c r="F3191" s="12" t="s">
        <v>3</v>
      </c>
      <c r="G3191" s="15">
        <v>250</v>
      </c>
      <c r="H3191" s="12" t="s">
        <v>723</v>
      </c>
      <c r="I3191" s="12" t="s">
        <v>298</v>
      </c>
      <c r="K3191" s="16">
        <v>41.92</v>
      </c>
      <c r="L3191" s="16">
        <v>63.26</v>
      </c>
      <c r="M3191" s="16">
        <v>65.260000000000005</v>
      </c>
    </row>
    <row r="3192" spans="2:13" outlineLevel="2" x14ac:dyDescent="0.2"/>
    <row r="3193" spans="2:13" ht="33.75" outlineLevel="3" x14ac:dyDescent="0.2">
      <c r="B3193" s="4" t="str">
        <f>"0005940030"</f>
        <v>0005940030</v>
      </c>
      <c r="C3193" s="5" t="str">
        <f>"024365"</f>
        <v>024365</v>
      </c>
      <c r="D3193" s="12" t="s">
        <v>724</v>
      </c>
      <c r="E3193" s="14" t="s">
        <v>118</v>
      </c>
      <c r="F3193" s="12" t="s">
        <v>3</v>
      </c>
      <c r="G3193" s="15">
        <v>30</v>
      </c>
      <c r="H3193" s="12" t="s">
        <v>723</v>
      </c>
      <c r="I3193" s="12" t="s">
        <v>30</v>
      </c>
      <c r="K3193" s="16">
        <v>10.73</v>
      </c>
      <c r="L3193" s="16">
        <v>16.95</v>
      </c>
      <c r="M3193" s="16">
        <v>18.45</v>
      </c>
    </row>
    <row r="3194" spans="2:13" ht="33.75" outlineLevel="3" x14ac:dyDescent="0.2">
      <c r="B3194" s="4" t="str">
        <f>"0005940030"</f>
        <v>0005940030</v>
      </c>
      <c r="C3194" s="5" t="str">
        <f>"097703"</f>
        <v>097703</v>
      </c>
      <c r="D3194" s="12" t="s">
        <v>726</v>
      </c>
      <c r="E3194" s="14" t="s">
        <v>118</v>
      </c>
      <c r="F3194" s="12" t="s">
        <v>3</v>
      </c>
      <c r="G3194" s="15">
        <v>30</v>
      </c>
      <c r="H3194" s="12" t="s">
        <v>723</v>
      </c>
      <c r="I3194" s="12" t="s">
        <v>104</v>
      </c>
      <c r="K3194" s="16">
        <v>10.73</v>
      </c>
      <c r="L3194" s="16">
        <v>16.95</v>
      </c>
      <c r="M3194" s="16">
        <v>18.45</v>
      </c>
    </row>
    <row r="3195" spans="2:13" ht="33.75" outlineLevel="3" x14ac:dyDescent="0.2">
      <c r="B3195" s="4" t="str">
        <f>"0005940030"</f>
        <v>0005940030</v>
      </c>
      <c r="C3195" s="5" t="str">
        <f>"109549"</f>
        <v>109549</v>
      </c>
      <c r="D3195" s="12" t="s">
        <v>727</v>
      </c>
      <c r="E3195" s="14" t="s">
        <v>118</v>
      </c>
      <c r="F3195" s="12" t="s">
        <v>3</v>
      </c>
      <c r="G3195" s="15">
        <v>30</v>
      </c>
      <c r="H3195" s="12" t="s">
        <v>723</v>
      </c>
      <c r="I3195" s="12" t="s">
        <v>298</v>
      </c>
      <c r="K3195" s="16">
        <v>10.73</v>
      </c>
      <c r="L3195" s="16">
        <v>16.95</v>
      </c>
      <c r="M3195" s="16">
        <v>18.45</v>
      </c>
    </row>
    <row r="3196" spans="2:13" ht="33.75" outlineLevel="3" x14ac:dyDescent="0.2">
      <c r="B3196" s="4" t="str">
        <f>"0005940030"</f>
        <v>0005940030</v>
      </c>
      <c r="C3196" s="5" t="str">
        <f>"388731"</f>
        <v>388731</v>
      </c>
      <c r="D3196" s="12" t="s">
        <v>725</v>
      </c>
      <c r="E3196" s="14" t="s">
        <v>118</v>
      </c>
      <c r="F3196" s="12" t="s">
        <v>3</v>
      </c>
      <c r="G3196" s="15">
        <v>30</v>
      </c>
      <c r="H3196" s="12" t="s">
        <v>723</v>
      </c>
      <c r="I3196" s="12" t="s">
        <v>62</v>
      </c>
      <c r="K3196" s="16">
        <v>10.73</v>
      </c>
      <c r="L3196" s="16">
        <v>16.95</v>
      </c>
      <c r="M3196" s="16">
        <v>18.45</v>
      </c>
    </row>
    <row r="3197" spans="2:13" ht="33.75" outlineLevel="3" x14ac:dyDescent="0.2">
      <c r="B3197" s="4" t="str">
        <f>"0005940030"</f>
        <v>0005940030</v>
      </c>
      <c r="C3197" s="5" t="str">
        <f>"095962"</f>
        <v>095962</v>
      </c>
      <c r="D3197" s="12" t="s">
        <v>722</v>
      </c>
      <c r="E3197" s="14" t="s">
        <v>118</v>
      </c>
      <c r="F3197" s="12" t="s">
        <v>3</v>
      </c>
      <c r="G3197" s="15">
        <v>28</v>
      </c>
      <c r="H3197" s="12" t="s">
        <v>723</v>
      </c>
      <c r="I3197" s="12" t="s">
        <v>240</v>
      </c>
      <c r="J3197" s="2" t="s">
        <v>1400</v>
      </c>
      <c r="K3197" s="16">
        <v>10.01</v>
      </c>
      <c r="L3197" s="16">
        <v>15.87</v>
      </c>
      <c r="M3197" s="16">
        <v>18.45</v>
      </c>
    </row>
    <row r="3198" spans="2:13" outlineLevel="2" x14ac:dyDescent="0.2"/>
    <row r="3199" spans="2:13" ht="33.75" outlineLevel="3" x14ac:dyDescent="0.2">
      <c r="B3199" s="4" t="str">
        <f>"0005940100"</f>
        <v>0005940100</v>
      </c>
      <c r="C3199" s="5" t="str">
        <f>"024276"</f>
        <v>024276</v>
      </c>
      <c r="D3199" s="12" t="s">
        <v>724</v>
      </c>
      <c r="E3199" s="14" t="s">
        <v>118</v>
      </c>
      <c r="F3199" s="12" t="s">
        <v>3</v>
      </c>
      <c r="G3199" s="15" t="s">
        <v>123</v>
      </c>
      <c r="H3199" s="12" t="s">
        <v>723</v>
      </c>
      <c r="I3199" s="12" t="s">
        <v>30</v>
      </c>
      <c r="K3199" s="16">
        <v>32.229999999999997</v>
      </c>
      <c r="L3199" s="16">
        <v>48.87</v>
      </c>
      <c r="M3199" s="16">
        <v>50.06</v>
      </c>
    </row>
    <row r="3200" spans="2:13" ht="33.75" outlineLevel="3" x14ac:dyDescent="0.2">
      <c r="B3200" s="4" t="str">
        <f>"0005940100"</f>
        <v>0005940100</v>
      </c>
      <c r="C3200" s="5" t="str">
        <f>"172187"</f>
        <v>172187</v>
      </c>
      <c r="D3200" s="12" t="s">
        <v>726</v>
      </c>
      <c r="E3200" s="14" t="s">
        <v>118</v>
      </c>
      <c r="F3200" s="12" t="s">
        <v>3</v>
      </c>
      <c r="G3200" s="15">
        <v>100</v>
      </c>
      <c r="H3200" s="12" t="s">
        <v>723</v>
      </c>
      <c r="I3200" s="12" t="s">
        <v>104</v>
      </c>
      <c r="K3200" s="16">
        <v>32.229999999999997</v>
      </c>
      <c r="L3200" s="16">
        <v>48.87</v>
      </c>
      <c r="M3200" s="16">
        <v>50.06</v>
      </c>
    </row>
    <row r="3201" spans="1:13" ht="33.75" outlineLevel="3" x14ac:dyDescent="0.2">
      <c r="B3201" s="4" t="str">
        <f>"0005940100"</f>
        <v>0005940100</v>
      </c>
      <c r="C3201" s="5" t="str">
        <f>"471693"</f>
        <v>471693</v>
      </c>
      <c r="D3201" s="12" t="s">
        <v>725</v>
      </c>
      <c r="E3201" s="14" t="s">
        <v>118</v>
      </c>
      <c r="F3201" s="12" t="s">
        <v>3</v>
      </c>
      <c r="G3201" s="15">
        <v>100</v>
      </c>
      <c r="H3201" s="12" t="s">
        <v>723</v>
      </c>
      <c r="I3201" s="12" t="s">
        <v>62</v>
      </c>
      <c r="K3201" s="16">
        <v>32.229999999999997</v>
      </c>
      <c r="L3201" s="16">
        <v>48.87</v>
      </c>
      <c r="M3201" s="16">
        <v>50.06</v>
      </c>
    </row>
    <row r="3202" spans="1:13" ht="33.75" outlineLevel="3" x14ac:dyDescent="0.2">
      <c r="B3202" s="4" t="str">
        <f>"0005940100"</f>
        <v>0005940100</v>
      </c>
      <c r="C3202" s="5" t="str">
        <f>"545463"</f>
        <v>545463</v>
      </c>
      <c r="D3202" s="12" t="s">
        <v>727</v>
      </c>
      <c r="E3202" s="14" t="s">
        <v>118</v>
      </c>
      <c r="F3202" s="12" t="s">
        <v>3</v>
      </c>
      <c r="G3202" s="15">
        <v>100</v>
      </c>
      <c r="H3202" s="12" t="s">
        <v>723</v>
      </c>
      <c r="I3202" s="12" t="s">
        <v>298</v>
      </c>
      <c r="K3202" s="16">
        <v>32.229999999999997</v>
      </c>
      <c r="L3202" s="16">
        <v>48.87</v>
      </c>
      <c r="M3202" s="16">
        <v>50.06</v>
      </c>
    </row>
    <row r="3203" spans="1:13" ht="33.75" outlineLevel="3" x14ac:dyDescent="0.2">
      <c r="B3203" s="4" t="str">
        <f>"0005940100"</f>
        <v>0005940100</v>
      </c>
      <c r="C3203" s="5" t="str">
        <f>"598897"</f>
        <v>598897</v>
      </c>
      <c r="D3203" s="12" t="s">
        <v>722</v>
      </c>
      <c r="E3203" s="14" t="s">
        <v>118</v>
      </c>
      <c r="F3203" s="12" t="s">
        <v>3</v>
      </c>
      <c r="G3203" s="15">
        <v>98</v>
      </c>
      <c r="H3203" s="12" t="s">
        <v>723</v>
      </c>
      <c r="I3203" s="12" t="s">
        <v>240</v>
      </c>
      <c r="K3203" s="16">
        <v>31.68</v>
      </c>
      <c r="L3203" s="16">
        <v>48.06</v>
      </c>
      <c r="M3203" s="16">
        <v>50.06</v>
      </c>
    </row>
    <row r="3204" spans="1:13" outlineLevel="1" x14ac:dyDescent="0.2">
      <c r="A3204" s="3"/>
    </row>
    <row r="3205" spans="1:13" outlineLevel="2" x14ac:dyDescent="0.2">
      <c r="A3205" s="3" t="s">
        <v>1570</v>
      </c>
    </row>
    <row r="3206" spans="1:13" ht="33.75" outlineLevel="3" x14ac:dyDescent="0.2">
      <c r="B3206" s="4" t="str">
        <f>"0011240014"</f>
        <v>0011240014</v>
      </c>
      <c r="C3206" s="5" t="str">
        <f>"522168"</f>
        <v>522168</v>
      </c>
      <c r="D3206" s="12" t="s">
        <v>1113</v>
      </c>
      <c r="E3206" s="14" t="s">
        <v>111</v>
      </c>
      <c r="F3206" s="12" t="s">
        <v>3</v>
      </c>
      <c r="G3206" s="15">
        <v>14</v>
      </c>
      <c r="H3206" s="12" t="s">
        <v>1114</v>
      </c>
      <c r="I3206" s="12" t="s">
        <v>70</v>
      </c>
      <c r="J3206" s="2" t="s">
        <v>1400</v>
      </c>
      <c r="K3206" s="16">
        <v>2.7</v>
      </c>
      <c r="L3206" s="16">
        <v>4.3099999999999996</v>
      </c>
      <c r="M3206" s="16">
        <v>5.81</v>
      </c>
    </row>
    <row r="3207" spans="1:13" ht="33.75" outlineLevel="3" x14ac:dyDescent="0.2">
      <c r="B3207" s="4" t="str">
        <f>"0011240014"</f>
        <v>0011240014</v>
      </c>
      <c r="C3207" s="5" t="str">
        <f>"046006"</f>
        <v>046006</v>
      </c>
      <c r="D3207" s="12" t="s">
        <v>1115</v>
      </c>
      <c r="E3207" s="14" t="s">
        <v>111</v>
      </c>
      <c r="F3207" s="12" t="s">
        <v>3</v>
      </c>
      <c r="G3207" s="15">
        <v>14</v>
      </c>
      <c r="H3207" s="12" t="s">
        <v>1114</v>
      </c>
      <c r="I3207" s="12" t="s">
        <v>28</v>
      </c>
      <c r="K3207" s="16">
        <v>2.7</v>
      </c>
      <c r="L3207" s="16">
        <v>4.3099999999999996</v>
      </c>
      <c r="M3207" s="16">
        <v>5.81</v>
      </c>
    </row>
    <row r="3208" spans="1:13" ht="22.5" outlineLevel="3" x14ac:dyDescent="0.2">
      <c r="B3208" s="4" t="str">
        <f>"0011240014"</f>
        <v>0011240014</v>
      </c>
      <c r="C3208" s="5" t="str">
        <f>"073266"</f>
        <v>073266</v>
      </c>
      <c r="D3208" s="12" t="s">
        <v>1113</v>
      </c>
      <c r="E3208" s="14" t="s">
        <v>111</v>
      </c>
      <c r="F3208" s="12" t="s">
        <v>432</v>
      </c>
      <c r="G3208" s="15">
        <v>14</v>
      </c>
      <c r="H3208" s="12" t="s">
        <v>1114</v>
      </c>
      <c r="I3208" s="12" t="s">
        <v>70</v>
      </c>
      <c r="K3208" s="16">
        <v>2.7</v>
      </c>
      <c r="L3208" s="16">
        <v>4.3099999999999996</v>
      </c>
      <c r="M3208" s="16">
        <v>5.81</v>
      </c>
    </row>
    <row r="3209" spans="1:13" ht="33.75" outlineLevel="3" x14ac:dyDescent="0.2">
      <c r="B3209" s="4" t="str">
        <f>"0011240014"</f>
        <v>0011240014</v>
      </c>
      <c r="C3209" s="5" t="str">
        <f>"081126"</f>
        <v>081126</v>
      </c>
      <c r="D3209" s="12" t="s">
        <v>1116</v>
      </c>
      <c r="E3209" s="14" t="s">
        <v>111</v>
      </c>
      <c r="F3209" s="12" t="s">
        <v>3</v>
      </c>
      <c r="G3209" s="15">
        <v>14</v>
      </c>
      <c r="H3209" s="12" t="s">
        <v>1114</v>
      </c>
      <c r="I3209" s="12" t="s">
        <v>68</v>
      </c>
      <c r="K3209" s="16">
        <v>2.7</v>
      </c>
      <c r="L3209" s="16">
        <v>4.3099999999999996</v>
      </c>
      <c r="M3209" s="16">
        <v>5.81</v>
      </c>
    </row>
    <row r="3210" spans="1:13" ht="33.75" outlineLevel="3" x14ac:dyDescent="0.2">
      <c r="B3210" s="4" t="str">
        <f>"0011240014"</f>
        <v>0011240014</v>
      </c>
      <c r="C3210" s="5" t="str">
        <f>"089195"</f>
        <v>089195</v>
      </c>
      <c r="D3210" s="12" t="s">
        <v>1117</v>
      </c>
      <c r="E3210" s="14" t="s">
        <v>111</v>
      </c>
      <c r="F3210" s="12" t="s">
        <v>3</v>
      </c>
      <c r="G3210" s="15">
        <v>14</v>
      </c>
      <c r="H3210" s="12" t="s">
        <v>1114</v>
      </c>
      <c r="I3210" s="12" t="s">
        <v>298</v>
      </c>
      <c r="K3210" s="16">
        <v>2.7</v>
      </c>
      <c r="L3210" s="16">
        <v>4.3099999999999996</v>
      </c>
      <c r="M3210" s="16">
        <v>5.81</v>
      </c>
    </row>
    <row r="3211" spans="1:13" outlineLevel="2" x14ac:dyDescent="0.2"/>
    <row r="3212" spans="1:13" ht="33.75" outlineLevel="3" x14ac:dyDescent="0.2">
      <c r="B3212" s="4" t="str">
        <f>"0011240030"</f>
        <v>0011240030</v>
      </c>
      <c r="C3212" s="5" t="str">
        <f>"076120"</f>
        <v>076120</v>
      </c>
      <c r="D3212" s="12" t="s">
        <v>1117</v>
      </c>
      <c r="E3212" s="14" t="s">
        <v>111</v>
      </c>
      <c r="F3212" s="12" t="s">
        <v>3</v>
      </c>
      <c r="G3212" s="15">
        <v>28</v>
      </c>
      <c r="H3212" s="12" t="s">
        <v>1114</v>
      </c>
      <c r="I3212" s="12" t="s">
        <v>298</v>
      </c>
      <c r="K3212" s="16">
        <v>4.9400000000000004</v>
      </c>
      <c r="L3212" s="16">
        <v>7.88</v>
      </c>
      <c r="M3212" s="16">
        <v>9.3800000000000008</v>
      </c>
    </row>
    <row r="3213" spans="1:13" ht="33.75" outlineLevel="3" x14ac:dyDescent="0.2">
      <c r="B3213" s="4" t="str">
        <f>"0011240030"</f>
        <v>0011240030</v>
      </c>
      <c r="C3213" s="5" t="str">
        <f>"406879"</f>
        <v>406879</v>
      </c>
      <c r="D3213" s="12" t="s">
        <v>1118</v>
      </c>
      <c r="E3213" s="14" t="s">
        <v>111</v>
      </c>
      <c r="F3213" s="12" t="s">
        <v>3</v>
      </c>
      <c r="G3213" s="15">
        <v>28</v>
      </c>
      <c r="H3213" s="12" t="s">
        <v>1114</v>
      </c>
      <c r="I3213" s="12" t="s">
        <v>492</v>
      </c>
      <c r="K3213" s="16">
        <v>4.9400000000000004</v>
      </c>
      <c r="L3213" s="16">
        <v>7.88</v>
      </c>
      <c r="M3213" s="16">
        <v>9.3800000000000008</v>
      </c>
    </row>
    <row r="3214" spans="1:13" outlineLevel="2" x14ac:dyDescent="0.2"/>
    <row r="3215" spans="1:13" ht="33.75" outlineLevel="3" x14ac:dyDescent="0.2">
      <c r="B3215" s="4" t="str">
        <f>"0011240056"</f>
        <v>0011240056</v>
      </c>
      <c r="C3215" s="5" t="str">
        <f>"509332"</f>
        <v>509332</v>
      </c>
      <c r="D3215" s="12" t="s">
        <v>1113</v>
      </c>
      <c r="E3215" s="14" t="s">
        <v>111</v>
      </c>
      <c r="F3215" s="12" t="s">
        <v>3</v>
      </c>
      <c r="G3215" s="15">
        <v>56</v>
      </c>
      <c r="H3215" s="12" t="s">
        <v>1114</v>
      </c>
      <c r="I3215" s="12" t="s">
        <v>70</v>
      </c>
      <c r="J3215" s="2" t="s">
        <v>1400</v>
      </c>
      <c r="K3215" s="16">
        <v>9.91</v>
      </c>
      <c r="L3215" s="16">
        <v>15.73</v>
      </c>
      <c r="M3215" s="16">
        <v>17.23</v>
      </c>
    </row>
    <row r="3216" spans="1:13" ht="33.75" outlineLevel="3" x14ac:dyDescent="0.2">
      <c r="B3216" s="4" t="str">
        <f>"0011240056"</f>
        <v>0011240056</v>
      </c>
      <c r="C3216" s="5" t="str">
        <f>"081137"</f>
        <v>081137</v>
      </c>
      <c r="D3216" s="12" t="s">
        <v>1116</v>
      </c>
      <c r="E3216" s="14" t="s">
        <v>111</v>
      </c>
      <c r="F3216" s="12" t="s">
        <v>3</v>
      </c>
      <c r="G3216" s="15">
        <v>56</v>
      </c>
      <c r="H3216" s="12" t="s">
        <v>1114</v>
      </c>
      <c r="I3216" s="12" t="s">
        <v>68</v>
      </c>
      <c r="K3216" s="16">
        <v>9.91</v>
      </c>
      <c r="L3216" s="16">
        <v>15.73</v>
      </c>
      <c r="M3216" s="16">
        <v>17.23</v>
      </c>
    </row>
    <row r="3217" spans="2:13" ht="33.75" outlineLevel="3" x14ac:dyDescent="0.2">
      <c r="B3217" s="4" t="str">
        <f>"0011240056"</f>
        <v>0011240056</v>
      </c>
      <c r="C3217" s="5" t="str">
        <f>"194499"</f>
        <v>194499</v>
      </c>
      <c r="D3217" s="12" t="s">
        <v>1115</v>
      </c>
      <c r="E3217" s="14" t="s">
        <v>111</v>
      </c>
      <c r="F3217" s="12" t="s">
        <v>3</v>
      </c>
      <c r="G3217" s="15">
        <v>56</v>
      </c>
      <c r="H3217" s="12" t="s">
        <v>1114</v>
      </c>
      <c r="I3217" s="12" t="s">
        <v>28</v>
      </c>
      <c r="K3217" s="16">
        <v>9.91</v>
      </c>
      <c r="L3217" s="16">
        <v>15.73</v>
      </c>
      <c r="M3217" s="16">
        <v>17.23</v>
      </c>
    </row>
    <row r="3218" spans="2:13" outlineLevel="2" x14ac:dyDescent="0.2"/>
    <row r="3219" spans="2:13" ht="33.75" outlineLevel="3" x14ac:dyDescent="0.2">
      <c r="B3219" s="4" t="str">
        <f t="shared" ref="B3219:B3229" si="97">"0011240100"</f>
        <v>0011240100</v>
      </c>
      <c r="C3219" s="5" t="str">
        <f>"005790"</f>
        <v>005790</v>
      </c>
      <c r="D3219" s="12" t="s">
        <v>1119</v>
      </c>
      <c r="E3219" s="14" t="s">
        <v>111</v>
      </c>
      <c r="F3219" s="12" t="s">
        <v>3</v>
      </c>
      <c r="G3219" s="15">
        <v>100</v>
      </c>
      <c r="H3219" s="12" t="s">
        <v>1114</v>
      </c>
      <c r="I3219" s="12" t="s">
        <v>492</v>
      </c>
      <c r="K3219" s="16">
        <v>17.09</v>
      </c>
      <c r="L3219" s="16">
        <v>26.39</v>
      </c>
      <c r="M3219" s="16">
        <v>16.77</v>
      </c>
    </row>
    <row r="3220" spans="2:13" ht="33.75" outlineLevel="3" x14ac:dyDescent="0.2">
      <c r="B3220" s="4" t="str">
        <f t="shared" si="97"/>
        <v>0011240100</v>
      </c>
      <c r="C3220" s="5" t="str">
        <f>"049154"</f>
        <v>049154</v>
      </c>
      <c r="D3220" s="12" t="s">
        <v>1116</v>
      </c>
      <c r="E3220" s="14" t="s">
        <v>111</v>
      </c>
      <c r="F3220" s="12" t="s">
        <v>3</v>
      </c>
      <c r="G3220" s="15">
        <v>100</v>
      </c>
      <c r="H3220" s="12" t="s">
        <v>1114</v>
      </c>
      <c r="I3220" s="12" t="s">
        <v>68</v>
      </c>
      <c r="K3220" s="16">
        <v>10.75</v>
      </c>
      <c r="L3220" s="16">
        <v>16.97</v>
      </c>
      <c r="M3220" s="16">
        <v>16.77</v>
      </c>
    </row>
    <row r="3221" spans="2:13" ht="33.75" outlineLevel="3" x14ac:dyDescent="0.2">
      <c r="B3221" s="4" t="str">
        <f t="shared" si="97"/>
        <v>0011240100</v>
      </c>
      <c r="C3221" s="5" t="str">
        <f>"057527"</f>
        <v>057527</v>
      </c>
      <c r="D3221" s="12" t="s">
        <v>1117</v>
      </c>
      <c r="E3221" s="14" t="s">
        <v>111</v>
      </c>
      <c r="F3221" s="12" t="s">
        <v>3</v>
      </c>
      <c r="G3221" s="15">
        <v>100</v>
      </c>
      <c r="H3221" s="12" t="s">
        <v>1114</v>
      </c>
      <c r="I3221" s="12" t="s">
        <v>298</v>
      </c>
      <c r="K3221" s="16">
        <v>10.75</v>
      </c>
      <c r="L3221" s="16">
        <v>16.97</v>
      </c>
      <c r="M3221" s="16">
        <v>16.77</v>
      </c>
    </row>
    <row r="3222" spans="2:13" ht="33.75" outlineLevel="3" x14ac:dyDescent="0.2">
      <c r="B3222" s="4" t="str">
        <f t="shared" si="97"/>
        <v>0011240100</v>
      </c>
      <c r="C3222" s="5" t="str">
        <f>"081148"</f>
        <v>081148</v>
      </c>
      <c r="D3222" s="12" t="s">
        <v>1116</v>
      </c>
      <c r="E3222" s="14" t="s">
        <v>111</v>
      </c>
      <c r="F3222" s="12" t="s">
        <v>3</v>
      </c>
      <c r="G3222" s="15">
        <v>100</v>
      </c>
      <c r="H3222" s="12" t="s">
        <v>1114</v>
      </c>
      <c r="I3222" s="12" t="s">
        <v>68</v>
      </c>
      <c r="K3222" s="16">
        <v>10.75</v>
      </c>
      <c r="L3222" s="16">
        <v>16.97</v>
      </c>
      <c r="M3222" s="16">
        <v>16.77</v>
      </c>
    </row>
    <row r="3223" spans="2:13" ht="33.75" outlineLevel="3" x14ac:dyDescent="0.2">
      <c r="B3223" s="4" t="str">
        <f t="shared" si="97"/>
        <v>0011240100</v>
      </c>
      <c r="C3223" s="5" t="str">
        <f>"110362"</f>
        <v>110362</v>
      </c>
      <c r="D3223" s="12" t="s">
        <v>1120</v>
      </c>
      <c r="E3223" s="14" t="s">
        <v>111</v>
      </c>
      <c r="F3223" s="12" t="s">
        <v>3</v>
      </c>
      <c r="G3223" s="15">
        <v>100</v>
      </c>
      <c r="H3223" s="12" t="s">
        <v>1114</v>
      </c>
      <c r="I3223" s="12" t="s">
        <v>30</v>
      </c>
      <c r="K3223" s="16">
        <v>10.75</v>
      </c>
      <c r="L3223" s="16">
        <v>16.97</v>
      </c>
      <c r="M3223" s="16">
        <v>16.77</v>
      </c>
    </row>
    <row r="3224" spans="2:13" ht="33.75" outlineLevel="3" x14ac:dyDescent="0.2">
      <c r="B3224" s="4" t="str">
        <f t="shared" si="97"/>
        <v>0011240100</v>
      </c>
      <c r="C3224" s="5" t="str">
        <f>"177953"</f>
        <v>177953</v>
      </c>
      <c r="D3224" s="12" t="s">
        <v>1115</v>
      </c>
      <c r="E3224" s="14" t="s">
        <v>111</v>
      </c>
      <c r="F3224" s="12" t="s">
        <v>3</v>
      </c>
      <c r="G3224" s="15">
        <v>100</v>
      </c>
      <c r="H3224" s="12" t="s">
        <v>1114</v>
      </c>
      <c r="I3224" s="12" t="s">
        <v>28</v>
      </c>
      <c r="K3224" s="16">
        <v>10.75</v>
      </c>
      <c r="L3224" s="16">
        <v>16.97</v>
      </c>
      <c r="M3224" s="16">
        <v>16.77</v>
      </c>
    </row>
    <row r="3225" spans="2:13" ht="33.75" outlineLevel="3" x14ac:dyDescent="0.2">
      <c r="B3225" s="4" t="str">
        <f t="shared" si="97"/>
        <v>0011240100</v>
      </c>
      <c r="C3225" s="5" t="str">
        <f>"190407"</f>
        <v>190407</v>
      </c>
      <c r="D3225" s="12" t="s">
        <v>1118</v>
      </c>
      <c r="E3225" s="14" t="s">
        <v>111</v>
      </c>
      <c r="F3225" s="12" t="s">
        <v>3</v>
      </c>
      <c r="G3225" s="15">
        <v>100</v>
      </c>
      <c r="H3225" s="12" t="s">
        <v>1114</v>
      </c>
      <c r="I3225" s="12" t="s">
        <v>492</v>
      </c>
      <c r="K3225" s="16">
        <v>10.75</v>
      </c>
      <c r="L3225" s="16">
        <v>16.97</v>
      </c>
      <c r="M3225" s="16">
        <v>16.77</v>
      </c>
    </row>
    <row r="3226" spans="2:13" ht="33.75" outlineLevel="3" x14ac:dyDescent="0.2">
      <c r="B3226" s="4" t="str">
        <f t="shared" si="97"/>
        <v>0011240100</v>
      </c>
      <c r="C3226" s="5" t="str">
        <f>"398642"</f>
        <v>398642</v>
      </c>
      <c r="D3226" s="12" t="s">
        <v>1115</v>
      </c>
      <c r="E3226" s="14" t="s">
        <v>111</v>
      </c>
      <c r="F3226" s="12" t="s">
        <v>3</v>
      </c>
      <c r="G3226" s="15">
        <v>98</v>
      </c>
      <c r="H3226" s="12" t="s">
        <v>1114</v>
      </c>
      <c r="I3226" s="12" t="s">
        <v>28</v>
      </c>
      <c r="K3226" s="16">
        <v>10.75</v>
      </c>
      <c r="L3226" s="16">
        <v>16.97</v>
      </c>
      <c r="M3226" s="16">
        <v>16.77</v>
      </c>
    </row>
    <row r="3227" spans="2:13" ht="33.75" outlineLevel="3" x14ac:dyDescent="0.2">
      <c r="B3227" s="4" t="str">
        <f t="shared" si="97"/>
        <v>0011240100</v>
      </c>
      <c r="C3227" s="5" t="str">
        <f>"431766"</f>
        <v>431766</v>
      </c>
      <c r="D3227" s="12" t="s">
        <v>1113</v>
      </c>
      <c r="E3227" s="14" t="s">
        <v>111</v>
      </c>
      <c r="F3227" s="12" t="s">
        <v>3</v>
      </c>
      <c r="G3227" s="15">
        <v>98</v>
      </c>
      <c r="H3227" s="12" t="s">
        <v>1114</v>
      </c>
      <c r="I3227" s="12" t="s">
        <v>70</v>
      </c>
      <c r="K3227" s="16">
        <v>10.75</v>
      </c>
      <c r="L3227" s="16">
        <v>16.97</v>
      </c>
      <c r="M3227" s="16">
        <v>16.77</v>
      </c>
    </row>
    <row r="3228" spans="2:13" ht="22.5" outlineLevel="3" x14ac:dyDescent="0.2">
      <c r="B3228" s="4" t="str">
        <f t="shared" si="97"/>
        <v>0011240100</v>
      </c>
      <c r="C3228" s="5" t="str">
        <f>"538365"</f>
        <v>538365</v>
      </c>
      <c r="D3228" s="12" t="s">
        <v>1113</v>
      </c>
      <c r="E3228" s="14" t="s">
        <v>111</v>
      </c>
      <c r="F3228" s="12" t="s">
        <v>432</v>
      </c>
      <c r="G3228" s="15">
        <v>98</v>
      </c>
      <c r="H3228" s="12" t="s">
        <v>1114</v>
      </c>
      <c r="I3228" s="12" t="s">
        <v>70</v>
      </c>
      <c r="K3228" s="16">
        <v>10.75</v>
      </c>
      <c r="L3228" s="16">
        <v>16.97</v>
      </c>
      <c r="M3228" s="16">
        <v>16.77</v>
      </c>
    </row>
    <row r="3229" spans="2:13" ht="33.75" outlineLevel="3" x14ac:dyDescent="0.2">
      <c r="B3229" s="4" t="str">
        <f t="shared" si="97"/>
        <v>0011240100</v>
      </c>
      <c r="C3229" s="5" t="str">
        <f>"435860"</f>
        <v>435860</v>
      </c>
      <c r="D3229" s="12" t="s">
        <v>1121</v>
      </c>
      <c r="E3229" s="14" t="s">
        <v>111</v>
      </c>
      <c r="F3229" s="12" t="s">
        <v>3</v>
      </c>
      <c r="G3229" s="15">
        <v>98</v>
      </c>
      <c r="H3229" s="12" t="s">
        <v>1114</v>
      </c>
      <c r="I3229" s="12" t="s">
        <v>675</v>
      </c>
      <c r="K3229" s="16">
        <v>9.6</v>
      </c>
      <c r="L3229" s="16">
        <v>15.27</v>
      </c>
      <c r="M3229" s="16">
        <v>16.77</v>
      </c>
    </row>
    <row r="3230" spans="2:13" outlineLevel="2" x14ac:dyDescent="0.2"/>
    <row r="3231" spans="2:13" ht="33.75" outlineLevel="3" x14ac:dyDescent="0.2">
      <c r="B3231" s="4" t="str">
        <f>"0011250014"</f>
        <v>0011250014</v>
      </c>
      <c r="C3231" s="5" t="str">
        <f>"131720"</f>
        <v>131720</v>
      </c>
      <c r="D3231" s="12" t="s">
        <v>1113</v>
      </c>
      <c r="E3231" s="14" t="s">
        <v>82</v>
      </c>
      <c r="F3231" s="12" t="s">
        <v>3</v>
      </c>
      <c r="G3231" s="15">
        <v>14</v>
      </c>
      <c r="H3231" s="12" t="s">
        <v>1114</v>
      </c>
      <c r="I3231" s="12" t="s">
        <v>70</v>
      </c>
      <c r="J3231" s="2" t="s">
        <v>1400</v>
      </c>
      <c r="K3231" s="16">
        <v>5.09</v>
      </c>
      <c r="L3231" s="16">
        <v>8.1199999999999992</v>
      </c>
      <c r="M3231" s="16">
        <v>5.75</v>
      </c>
    </row>
    <row r="3232" spans="2:13" ht="33.75" outlineLevel="3" x14ac:dyDescent="0.2">
      <c r="B3232" s="4" t="str">
        <f>"0011250014"</f>
        <v>0011250014</v>
      </c>
      <c r="C3232" s="5" t="str">
        <f>"414662"</f>
        <v>414662</v>
      </c>
      <c r="D3232" s="12" t="s">
        <v>1115</v>
      </c>
      <c r="E3232" s="14" t="s">
        <v>82</v>
      </c>
      <c r="F3232" s="12" t="s">
        <v>3</v>
      </c>
      <c r="G3232" s="15">
        <v>14</v>
      </c>
      <c r="H3232" s="12" t="s">
        <v>1114</v>
      </c>
      <c r="I3232" s="12" t="s">
        <v>28</v>
      </c>
      <c r="K3232" s="16">
        <v>5.09</v>
      </c>
      <c r="L3232" s="16">
        <v>8.1199999999999992</v>
      </c>
      <c r="M3232" s="16">
        <v>5.75</v>
      </c>
    </row>
    <row r="3233" spans="2:13" ht="33.75" outlineLevel="3" x14ac:dyDescent="0.2">
      <c r="B3233" s="4" t="str">
        <f>"0011250014"</f>
        <v>0011250014</v>
      </c>
      <c r="C3233" s="5" t="str">
        <f>"522829"</f>
        <v>522829</v>
      </c>
      <c r="D3233" s="12" t="s">
        <v>1122</v>
      </c>
      <c r="E3233" s="14" t="s">
        <v>82</v>
      </c>
      <c r="F3233" s="12" t="s">
        <v>3</v>
      </c>
      <c r="G3233" s="15">
        <v>14</v>
      </c>
      <c r="H3233" s="12" t="s">
        <v>1114</v>
      </c>
      <c r="I3233" s="12" t="s">
        <v>355</v>
      </c>
      <c r="K3233" s="16">
        <v>2.66</v>
      </c>
      <c r="L3233" s="16">
        <v>4.25</v>
      </c>
      <c r="M3233" s="16">
        <v>5.75</v>
      </c>
    </row>
    <row r="3234" spans="2:13" outlineLevel="2" x14ac:dyDescent="0.2"/>
    <row r="3235" spans="2:13" ht="33.75" outlineLevel="3" x14ac:dyDescent="0.2">
      <c r="B3235" s="4" t="str">
        <f t="shared" ref="B3235:B3246" si="98">"0011250030"</f>
        <v>0011250030</v>
      </c>
      <c r="C3235" s="5" t="str">
        <f>"005812"</f>
        <v>005812</v>
      </c>
      <c r="D3235" s="12" t="s">
        <v>1119</v>
      </c>
      <c r="E3235" s="14" t="s">
        <v>82</v>
      </c>
      <c r="F3235" s="12" t="s">
        <v>3</v>
      </c>
      <c r="G3235" s="15">
        <v>28</v>
      </c>
      <c r="H3235" s="12" t="s">
        <v>1114</v>
      </c>
      <c r="I3235" s="12" t="s">
        <v>492</v>
      </c>
      <c r="K3235" s="16">
        <v>10.68</v>
      </c>
      <c r="L3235" s="16">
        <v>16.87</v>
      </c>
      <c r="M3235" s="16">
        <v>3.34</v>
      </c>
    </row>
    <row r="3236" spans="2:13" ht="33.75" outlineLevel="3" x14ac:dyDescent="0.2">
      <c r="B3236" s="4" t="str">
        <f t="shared" si="98"/>
        <v>0011250030</v>
      </c>
      <c r="C3236" s="5" t="str">
        <f>"038080"</f>
        <v>038080</v>
      </c>
      <c r="D3236" s="12" t="s">
        <v>1117</v>
      </c>
      <c r="E3236" s="14" t="s">
        <v>82</v>
      </c>
      <c r="F3236" s="12" t="s">
        <v>3</v>
      </c>
      <c r="G3236" s="15">
        <v>28</v>
      </c>
      <c r="H3236" s="12" t="s">
        <v>1114</v>
      </c>
      <c r="I3236" s="12" t="s">
        <v>298</v>
      </c>
      <c r="K3236" s="16">
        <v>2.61</v>
      </c>
      <c r="L3236" s="16">
        <v>4.16</v>
      </c>
      <c r="M3236" s="16">
        <v>3.34</v>
      </c>
    </row>
    <row r="3237" spans="2:13" ht="22.5" outlineLevel="3" x14ac:dyDescent="0.2">
      <c r="B3237" s="4" t="str">
        <f t="shared" si="98"/>
        <v>0011250030</v>
      </c>
      <c r="C3237" s="5" t="str">
        <f>"049340"</f>
        <v>049340</v>
      </c>
      <c r="D3237" s="12" t="s">
        <v>1115</v>
      </c>
      <c r="E3237" s="14" t="s">
        <v>82</v>
      </c>
      <c r="F3237" s="12" t="s">
        <v>432</v>
      </c>
      <c r="G3237" s="15">
        <v>28</v>
      </c>
      <c r="H3237" s="12" t="s">
        <v>1114</v>
      </c>
      <c r="I3237" s="12" t="s">
        <v>104</v>
      </c>
      <c r="K3237" s="16">
        <v>2.61</v>
      </c>
      <c r="L3237" s="16">
        <v>4.16</v>
      </c>
      <c r="M3237" s="16">
        <v>3.34</v>
      </c>
    </row>
    <row r="3238" spans="2:13" ht="33.75" outlineLevel="3" x14ac:dyDescent="0.2">
      <c r="B3238" s="4" t="str">
        <f t="shared" si="98"/>
        <v>0011250030</v>
      </c>
      <c r="C3238" s="5" t="str">
        <f>"081159"</f>
        <v>081159</v>
      </c>
      <c r="D3238" s="12" t="s">
        <v>1116</v>
      </c>
      <c r="E3238" s="14" t="s">
        <v>82</v>
      </c>
      <c r="F3238" s="12" t="s">
        <v>3</v>
      </c>
      <c r="G3238" s="15">
        <v>30</v>
      </c>
      <c r="H3238" s="12" t="s">
        <v>1114</v>
      </c>
      <c r="I3238" s="12" t="s">
        <v>68</v>
      </c>
      <c r="K3238" s="16">
        <v>2.61</v>
      </c>
      <c r="L3238" s="16">
        <v>4.16</v>
      </c>
      <c r="M3238" s="16">
        <v>3.34</v>
      </c>
    </row>
    <row r="3239" spans="2:13" ht="33.75" outlineLevel="3" x14ac:dyDescent="0.2">
      <c r="B3239" s="4" t="str">
        <f t="shared" si="98"/>
        <v>0011250030</v>
      </c>
      <c r="C3239" s="5" t="str">
        <f>"134989"</f>
        <v>134989</v>
      </c>
      <c r="D3239" s="12" t="s">
        <v>1122</v>
      </c>
      <c r="E3239" s="14" t="s">
        <v>82</v>
      </c>
      <c r="F3239" s="12" t="s">
        <v>3</v>
      </c>
      <c r="G3239" s="15">
        <v>28</v>
      </c>
      <c r="H3239" s="12" t="s">
        <v>1114</v>
      </c>
      <c r="I3239" s="12" t="s">
        <v>355</v>
      </c>
      <c r="K3239" s="16">
        <v>2.61</v>
      </c>
      <c r="L3239" s="16">
        <v>4.16</v>
      </c>
      <c r="M3239" s="16">
        <v>3.34</v>
      </c>
    </row>
    <row r="3240" spans="2:13" ht="33.75" outlineLevel="3" x14ac:dyDescent="0.2">
      <c r="B3240" s="4" t="str">
        <f t="shared" si="98"/>
        <v>0011250030</v>
      </c>
      <c r="C3240" s="5" t="str">
        <f>"386517"</f>
        <v>386517</v>
      </c>
      <c r="D3240" s="12" t="s">
        <v>1115</v>
      </c>
      <c r="E3240" s="14" t="s">
        <v>82</v>
      </c>
      <c r="F3240" s="12" t="s">
        <v>3</v>
      </c>
      <c r="G3240" s="15">
        <v>28</v>
      </c>
      <c r="H3240" s="12" t="s">
        <v>1114</v>
      </c>
      <c r="I3240" s="12" t="s">
        <v>28</v>
      </c>
      <c r="K3240" s="16">
        <v>2.61</v>
      </c>
      <c r="L3240" s="16">
        <v>4.16</v>
      </c>
      <c r="M3240" s="16">
        <v>3.34</v>
      </c>
    </row>
    <row r="3241" spans="2:13" ht="33.75" outlineLevel="3" x14ac:dyDescent="0.2">
      <c r="B3241" s="4" t="str">
        <f t="shared" si="98"/>
        <v>0011250030</v>
      </c>
      <c r="C3241" s="5" t="str">
        <f>"494693"</f>
        <v>494693</v>
      </c>
      <c r="D3241" s="12" t="s">
        <v>1118</v>
      </c>
      <c r="E3241" s="14" t="s">
        <v>82</v>
      </c>
      <c r="F3241" s="12" t="s">
        <v>3</v>
      </c>
      <c r="G3241" s="15">
        <v>28</v>
      </c>
      <c r="H3241" s="12" t="s">
        <v>1114</v>
      </c>
      <c r="I3241" s="12" t="s">
        <v>492</v>
      </c>
      <c r="K3241" s="16">
        <v>2.61</v>
      </c>
      <c r="L3241" s="16">
        <v>4.16</v>
      </c>
      <c r="M3241" s="16">
        <v>3.34</v>
      </c>
    </row>
    <row r="3242" spans="2:13" ht="33.75" outlineLevel="3" x14ac:dyDescent="0.2">
      <c r="B3242" s="4" t="str">
        <f t="shared" si="98"/>
        <v>0011250030</v>
      </c>
      <c r="C3242" s="5" t="str">
        <f>"500069"</f>
        <v>500069</v>
      </c>
      <c r="D3242" s="12" t="s">
        <v>1120</v>
      </c>
      <c r="E3242" s="14" t="s">
        <v>82</v>
      </c>
      <c r="F3242" s="12" t="s">
        <v>3</v>
      </c>
      <c r="G3242" s="15">
        <v>30</v>
      </c>
      <c r="H3242" s="12" t="s">
        <v>1114</v>
      </c>
      <c r="I3242" s="12" t="s">
        <v>30</v>
      </c>
      <c r="K3242" s="16">
        <v>2.61</v>
      </c>
      <c r="L3242" s="16">
        <v>4.16</v>
      </c>
      <c r="M3242" s="16">
        <v>3.34</v>
      </c>
    </row>
    <row r="3243" spans="2:13" ht="22.5" outlineLevel="3" x14ac:dyDescent="0.2">
      <c r="B3243" s="4" t="str">
        <f t="shared" si="98"/>
        <v>0011250030</v>
      </c>
      <c r="C3243" s="5" t="str">
        <f>"035454"</f>
        <v>035454</v>
      </c>
      <c r="D3243" s="12" t="s">
        <v>1113</v>
      </c>
      <c r="E3243" s="14" t="s">
        <v>82</v>
      </c>
      <c r="F3243" s="12" t="s">
        <v>432</v>
      </c>
      <c r="G3243" s="15">
        <v>28</v>
      </c>
      <c r="H3243" s="12" t="s">
        <v>1114</v>
      </c>
      <c r="I3243" s="12" t="s">
        <v>70</v>
      </c>
      <c r="K3243" s="16">
        <v>2.6</v>
      </c>
      <c r="L3243" s="16">
        <v>4.1500000000000004</v>
      </c>
      <c r="M3243" s="16">
        <v>3.34</v>
      </c>
    </row>
    <row r="3244" spans="2:13" ht="33.75" outlineLevel="3" x14ac:dyDescent="0.2">
      <c r="B3244" s="4" t="str">
        <f t="shared" si="98"/>
        <v>0011250030</v>
      </c>
      <c r="C3244" s="5" t="str">
        <f>"530463"</f>
        <v>530463</v>
      </c>
      <c r="D3244" s="12" t="s">
        <v>1113</v>
      </c>
      <c r="E3244" s="14" t="s">
        <v>82</v>
      </c>
      <c r="F3244" s="12" t="s">
        <v>3</v>
      </c>
      <c r="G3244" s="15">
        <v>28</v>
      </c>
      <c r="H3244" s="12" t="s">
        <v>1114</v>
      </c>
      <c r="I3244" s="12" t="s">
        <v>70</v>
      </c>
      <c r="K3244" s="16">
        <v>2.6</v>
      </c>
      <c r="L3244" s="16">
        <v>4.1500000000000004</v>
      </c>
      <c r="M3244" s="16">
        <v>3.34</v>
      </c>
    </row>
    <row r="3245" spans="2:13" ht="33.75" outlineLevel="3" x14ac:dyDescent="0.2">
      <c r="B3245" s="4" t="str">
        <f t="shared" si="98"/>
        <v>0011250030</v>
      </c>
      <c r="C3245" s="5" t="str">
        <f>"599236"</f>
        <v>599236</v>
      </c>
      <c r="D3245" s="12" t="s">
        <v>1121</v>
      </c>
      <c r="E3245" s="14" t="s">
        <v>82</v>
      </c>
      <c r="F3245" s="12" t="s">
        <v>3</v>
      </c>
      <c r="G3245" s="15">
        <v>28</v>
      </c>
      <c r="H3245" s="12" t="s">
        <v>1114</v>
      </c>
      <c r="I3245" s="12" t="s">
        <v>675</v>
      </c>
      <c r="K3245" s="16">
        <v>1.5</v>
      </c>
      <c r="L3245" s="16">
        <v>2.4</v>
      </c>
      <c r="M3245" s="16">
        <v>3.34</v>
      </c>
    </row>
    <row r="3246" spans="2:13" ht="33.75" outlineLevel="3" x14ac:dyDescent="0.2">
      <c r="B3246" s="4" t="str">
        <f t="shared" si="98"/>
        <v>0011250030</v>
      </c>
      <c r="C3246" s="5" t="str">
        <f>"149573"</f>
        <v>149573</v>
      </c>
      <c r="D3246" s="12" t="s">
        <v>1123</v>
      </c>
      <c r="E3246" s="14" t="s">
        <v>82</v>
      </c>
      <c r="F3246" s="12" t="s">
        <v>3</v>
      </c>
      <c r="G3246" s="15">
        <v>28</v>
      </c>
      <c r="H3246" s="12" t="s">
        <v>1114</v>
      </c>
      <c r="I3246" s="12" t="s">
        <v>79</v>
      </c>
      <c r="K3246" s="16">
        <v>1.1499999999999999</v>
      </c>
      <c r="L3246" s="16">
        <v>1.84</v>
      </c>
      <c r="M3246" s="16">
        <v>3.34</v>
      </c>
    </row>
    <row r="3247" spans="2:13" outlineLevel="2" x14ac:dyDescent="0.2"/>
    <row r="3248" spans="2:13" ht="33.75" outlineLevel="3" x14ac:dyDescent="0.2">
      <c r="B3248" s="4" t="str">
        <f t="shared" ref="B3248:B3253" si="99">"0011250056"</f>
        <v>0011250056</v>
      </c>
      <c r="C3248" s="5" t="str">
        <f>"057657"</f>
        <v>057657</v>
      </c>
      <c r="D3248" s="12" t="s">
        <v>1117</v>
      </c>
      <c r="E3248" s="14" t="s">
        <v>82</v>
      </c>
      <c r="F3248" s="12" t="s">
        <v>3</v>
      </c>
      <c r="G3248" s="15">
        <v>56</v>
      </c>
      <c r="H3248" s="12" t="s">
        <v>1114</v>
      </c>
      <c r="I3248" s="12" t="s">
        <v>298</v>
      </c>
      <c r="K3248" s="16">
        <v>11.44</v>
      </c>
      <c r="L3248" s="16">
        <v>18</v>
      </c>
      <c r="M3248" s="16">
        <v>14.5</v>
      </c>
    </row>
    <row r="3249" spans="2:13" ht="33.75" outlineLevel="3" x14ac:dyDescent="0.2">
      <c r="B3249" s="4" t="str">
        <f t="shared" si="99"/>
        <v>0011250056</v>
      </c>
      <c r="C3249" s="5" t="str">
        <f>"081171"</f>
        <v>081171</v>
      </c>
      <c r="D3249" s="12" t="s">
        <v>1116</v>
      </c>
      <c r="E3249" s="14" t="s">
        <v>82</v>
      </c>
      <c r="F3249" s="12" t="s">
        <v>3</v>
      </c>
      <c r="G3249" s="15">
        <v>56</v>
      </c>
      <c r="H3249" s="12" t="s">
        <v>1114</v>
      </c>
      <c r="I3249" s="12" t="s">
        <v>68</v>
      </c>
      <c r="K3249" s="16">
        <v>11.44</v>
      </c>
      <c r="L3249" s="16">
        <v>18</v>
      </c>
      <c r="M3249" s="16">
        <v>14.5</v>
      </c>
    </row>
    <row r="3250" spans="2:13" ht="33.75" outlineLevel="3" x14ac:dyDescent="0.2">
      <c r="B3250" s="4" t="str">
        <f t="shared" si="99"/>
        <v>0011250056</v>
      </c>
      <c r="C3250" s="5" t="str">
        <f>"082508"</f>
        <v>082508</v>
      </c>
      <c r="D3250" s="12" t="s">
        <v>1115</v>
      </c>
      <c r="E3250" s="14" t="s">
        <v>82</v>
      </c>
      <c r="F3250" s="12" t="s">
        <v>3</v>
      </c>
      <c r="G3250" s="15">
        <v>56</v>
      </c>
      <c r="H3250" s="12" t="s">
        <v>1114</v>
      </c>
      <c r="I3250" s="12" t="s">
        <v>28</v>
      </c>
      <c r="K3250" s="16">
        <v>11.44</v>
      </c>
      <c r="L3250" s="16">
        <v>18</v>
      </c>
      <c r="M3250" s="16">
        <v>14.5</v>
      </c>
    </row>
    <row r="3251" spans="2:13" ht="33.75" outlineLevel="3" x14ac:dyDescent="0.2">
      <c r="B3251" s="4" t="str">
        <f t="shared" si="99"/>
        <v>0011250056</v>
      </c>
      <c r="C3251" s="5" t="str">
        <f>"424991"</f>
        <v>424991</v>
      </c>
      <c r="D3251" s="12" t="s">
        <v>1120</v>
      </c>
      <c r="E3251" s="14" t="s">
        <v>82</v>
      </c>
      <c r="F3251" s="12" t="s">
        <v>3</v>
      </c>
      <c r="G3251" s="15">
        <v>56</v>
      </c>
      <c r="H3251" s="12" t="s">
        <v>1114</v>
      </c>
      <c r="I3251" s="12" t="s">
        <v>30</v>
      </c>
      <c r="K3251" s="16">
        <v>11.44</v>
      </c>
      <c r="L3251" s="16">
        <v>18</v>
      </c>
      <c r="M3251" s="16">
        <v>14.5</v>
      </c>
    </row>
    <row r="3252" spans="2:13" ht="33.75" outlineLevel="3" x14ac:dyDescent="0.2">
      <c r="B3252" s="4" t="str">
        <f t="shared" si="99"/>
        <v>0011250056</v>
      </c>
      <c r="C3252" s="5" t="str">
        <f>"182053"</f>
        <v>182053</v>
      </c>
      <c r="D3252" s="12" t="s">
        <v>1113</v>
      </c>
      <c r="E3252" s="14" t="s">
        <v>82</v>
      </c>
      <c r="F3252" s="12" t="s">
        <v>3</v>
      </c>
      <c r="G3252" s="15">
        <v>56</v>
      </c>
      <c r="H3252" s="12" t="s">
        <v>1114</v>
      </c>
      <c r="I3252" s="12" t="s">
        <v>70</v>
      </c>
      <c r="J3252" s="2" t="s">
        <v>1400</v>
      </c>
      <c r="K3252" s="16">
        <v>11.43</v>
      </c>
      <c r="L3252" s="16">
        <v>17.989999999999998</v>
      </c>
      <c r="M3252" s="16">
        <v>14.5</v>
      </c>
    </row>
    <row r="3253" spans="2:13" ht="33.75" outlineLevel="3" x14ac:dyDescent="0.2">
      <c r="B3253" s="4" t="str">
        <f t="shared" si="99"/>
        <v>0011250056</v>
      </c>
      <c r="C3253" s="5" t="str">
        <f>"164915"</f>
        <v>164915</v>
      </c>
      <c r="D3253" s="12" t="s">
        <v>1122</v>
      </c>
      <c r="E3253" s="14" t="s">
        <v>82</v>
      </c>
      <c r="F3253" s="12" t="s">
        <v>3</v>
      </c>
      <c r="G3253" s="15">
        <v>56</v>
      </c>
      <c r="H3253" s="12" t="s">
        <v>1114</v>
      </c>
      <c r="I3253" s="12" t="s">
        <v>355</v>
      </c>
      <c r="K3253" s="16">
        <v>8.15</v>
      </c>
      <c r="L3253" s="16">
        <v>13</v>
      </c>
      <c r="M3253" s="16">
        <v>14.5</v>
      </c>
    </row>
    <row r="3254" spans="2:13" outlineLevel="2" x14ac:dyDescent="0.2"/>
    <row r="3255" spans="2:13" ht="33.75" outlineLevel="3" x14ac:dyDescent="0.2">
      <c r="B3255" s="4" t="str">
        <f t="shared" ref="B3255:B3268" si="100">"0011250100"</f>
        <v>0011250100</v>
      </c>
      <c r="C3255" s="5" t="str">
        <f>"005845"</f>
        <v>005845</v>
      </c>
      <c r="D3255" s="12" t="s">
        <v>1119</v>
      </c>
      <c r="E3255" s="14" t="s">
        <v>82</v>
      </c>
      <c r="F3255" s="12" t="s">
        <v>3</v>
      </c>
      <c r="G3255" s="15">
        <v>100</v>
      </c>
      <c r="H3255" s="12" t="s">
        <v>1114</v>
      </c>
      <c r="I3255" s="12" t="s">
        <v>492</v>
      </c>
      <c r="K3255" s="16">
        <v>34.369999999999997</v>
      </c>
      <c r="L3255" s="16">
        <v>52.05</v>
      </c>
      <c r="M3255" s="16">
        <v>6.29</v>
      </c>
    </row>
    <row r="3256" spans="2:13" ht="33.75" outlineLevel="3" x14ac:dyDescent="0.2">
      <c r="B3256" s="4" t="str">
        <f t="shared" si="100"/>
        <v>0011250100</v>
      </c>
      <c r="C3256" s="5" t="str">
        <f>"081183"</f>
        <v>081183</v>
      </c>
      <c r="D3256" s="12" t="s">
        <v>1116</v>
      </c>
      <c r="E3256" s="14" t="s">
        <v>82</v>
      </c>
      <c r="F3256" s="12" t="s">
        <v>3</v>
      </c>
      <c r="G3256" s="15">
        <v>100</v>
      </c>
      <c r="H3256" s="12" t="s">
        <v>1114</v>
      </c>
      <c r="I3256" s="12" t="s">
        <v>68</v>
      </c>
      <c r="K3256" s="16">
        <v>5.19</v>
      </c>
      <c r="L3256" s="16">
        <v>8.2799999999999994</v>
      </c>
      <c r="M3256" s="16">
        <v>6.29</v>
      </c>
    </row>
    <row r="3257" spans="2:13" ht="33.75" outlineLevel="3" x14ac:dyDescent="0.2">
      <c r="B3257" s="4" t="str">
        <f t="shared" si="100"/>
        <v>0011250100</v>
      </c>
      <c r="C3257" s="5" t="str">
        <f>"173076"</f>
        <v>173076</v>
      </c>
      <c r="D3257" s="12" t="s">
        <v>1118</v>
      </c>
      <c r="E3257" s="14" t="s">
        <v>82</v>
      </c>
      <c r="F3257" s="12" t="s">
        <v>3</v>
      </c>
      <c r="G3257" s="15">
        <v>100</v>
      </c>
      <c r="H3257" s="12" t="s">
        <v>1114</v>
      </c>
      <c r="I3257" s="12" t="s">
        <v>492</v>
      </c>
      <c r="K3257" s="16">
        <v>5.19</v>
      </c>
      <c r="L3257" s="16">
        <v>8.2799999999999994</v>
      </c>
      <c r="M3257" s="16">
        <v>6.29</v>
      </c>
    </row>
    <row r="3258" spans="2:13" ht="33.75" outlineLevel="3" x14ac:dyDescent="0.2">
      <c r="B3258" s="4" t="str">
        <f t="shared" si="100"/>
        <v>0011250100</v>
      </c>
      <c r="C3258" s="5" t="str">
        <f>"373005"</f>
        <v>373005</v>
      </c>
      <c r="D3258" s="12" t="s">
        <v>1117</v>
      </c>
      <c r="E3258" s="14" t="s">
        <v>82</v>
      </c>
      <c r="F3258" s="12" t="s">
        <v>3</v>
      </c>
      <c r="G3258" s="15">
        <v>100</v>
      </c>
      <c r="H3258" s="12" t="s">
        <v>1114</v>
      </c>
      <c r="I3258" s="12" t="s">
        <v>298</v>
      </c>
      <c r="K3258" s="16">
        <v>5.19</v>
      </c>
      <c r="L3258" s="16">
        <v>8.2799999999999994</v>
      </c>
      <c r="M3258" s="16">
        <v>6.29</v>
      </c>
    </row>
    <row r="3259" spans="2:13" ht="22.5" outlineLevel="3" x14ac:dyDescent="0.2">
      <c r="B3259" s="4" t="str">
        <f t="shared" si="100"/>
        <v>0011250100</v>
      </c>
      <c r="C3259" s="5" t="str">
        <f>"374131"</f>
        <v>374131</v>
      </c>
      <c r="D3259" s="12" t="s">
        <v>1113</v>
      </c>
      <c r="E3259" s="14" t="s">
        <v>82</v>
      </c>
      <c r="F3259" s="12" t="s">
        <v>432</v>
      </c>
      <c r="G3259" s="15">
        <v>98</v>
      </c>
      <c r="H3259" s="12" t="s">
        <v>1114</v>
      </c>
      <c r="I3259" s="12" t="s">
        <v>70</v>
      </c>
      <c r="K3259" s="16">
        <v>5.19</v>
      </c>
      <c r="L3259" s="16">
        <v>8.2799999999999994</v>
      </c>
      <c r="M3259" s="16">
        <v>6.29</v>
      </c>
    </row>
    <row r="3260" spans="2:13" ht="33.75" outlineLevel="3" x14ac:dyDescent="0.2">
      <c r="B3260" s="4" t="str">
        <f t="shared" si="100"/>
        <v>0011250100</v>
      </c>
      <c r="C3260" s="5" t="str">
        <f>"469291"</f>
        <v>469291</v>
      </c>
      <c r="D3260" s="12" t="s">
        <v>1115</v>
      </c>
      <c r="E3260" s="14" t="s">
        <v>82</v>
      </c>
      <c r="F3260" s="12" t="s">
        <v>3</v>
      </c>
      <c r="G3260" s="15">
        <v>98</v>
      </c>
      <c r="H3260" s="12" t="s">
        <v>1114</v>
      </c>
      <c r="I3260" s="12" t="s">
        <v>28</v>
      </c>
      <c r="K3260" s="16">
        <v>5.19</v>
      </c>
      <c r="L3260" s="16">
        <v>8.2799999999999994</v>
      </c>
      <c r="M3260" s="16">
        <v>6.29</v>
      </c>
    </row>
    <row r="3261" spans="2:13" ht="33.75" outlineLevel="3" x14ac:dyDescent="0.2">
      <c r="B3261" s="4" t="str">
        <f t="shared" si="100"/>
        <v>0011250100</v>
      </c>
      <c r="C3261" s="5" t="str">
        <f>"500565"</f>
        <v>500565</v>
      </c>
      <c r="D3261" s="12" t="s">
        <v>1122</v>
      </c>
      <c r="E3261" s="14" t="s">
        <v>82</v>
      </c>
      <c r="F3261" s="12" t="s">
        <v>3</v>
      </c>
      <c r="G3261" s="15">
        <v>98</v>
      </c>
      <c r="H3261" s="12" t="s">
        <v>1114</v>
      </c>
      <c r="I3261" s="12" t="s">
        <v>355</v>
      </c>
      <c r="K3261" s="16">
        <v>5.19</v>
      </c>
      <c r="L3261" s="16">
        <v>8.2799999999999994</v>
      </c>
      <c r="M3261" s="16">
        <v>6.29</v>
      </c>
    </row>
    <row r="3262" spans="2:13" ht="33.75" outlineLevel="3" x14ac:dyDescent="0.2">
      <c r="B3262" s="4" t="str">
        <f t="shared" si="100"/>
        <v>0011250100</v>
      </c>
      <c r="C3262" s="5" t="str">
        <f>"508939"</f>
        <v>508939</v>
      </c>
      <c r="D3262" s="12" t="s">
        <v>1115</v>
      </c>
      <c r="E3262" s="14" t="s">
        <v>82</v>
      </c>
      <c r="F3262" s="12" t="s">
        <v>3</v>
      </c>
      <c r="G3262" s="15">
        <v>100</v>
      </c>
      <c r="H3262" s="12" t="s">
        <v>1114</v>
      </c>
      <c r="I3262" s="12" t="s">
        <v>28</v>
      </c>
      <c r="K3262" s="16">
        <v>5.19</v>
      </c>
      <c r="L3262" s="16">
        <v>8.2799999999999994</v>
      </c>
      <c r="M3262" s="16">
        <v>6.29</v>
      </c>
    </row>
    <row r="3263" spans="2:13" ht="33.75" outlineLevel="3" x14ac:dyDescent="0.2">
      <c r="B3263" s="4" t="str">
        <f t="shared" si="100"/>
        <v>0011250100</v>
      </c>
      <c r="C3263" s="5" t="str">
        <f>"510513"</f>
        <v>510513</v>
      </c>
      <c r="D3263" s="12" t="s">
        <v>1113</v>
      </c>
      <c r="E3263" s="14" t="s">
        <v>82</v>
      </c>
      <c r="F3263" s="12" t="s">
        <v>3</v>
      </c>
      <c r="G3263" s="15">
        <v>98</v>
      </c>
      <c r="H3263" s="12" t="s">
        <v>1114</v>
      </c>
      <c r="I3263" s="12" t="s">
        <v>70</v>
      </c>
      <c r="K3263" s="16">
        <v>5.19</v>
      </c>
      <c r="L3263" s="16">
        <v>8.2799999999999994</v>
      </c>
      <c r="M3263" s="16">
        <v>6.29</v>
      </c>
    </row>
    <row r="3264" spans="2:13" ht="33.75" outlineLevel="3" x14ac:dyDescent="0.2">
      <c r="B3264" s="4" t="str">
        <f t="shared" si="100"/>
        <v>0011250100</v>
      </c>
      <c r="C3264" s="5" t="str">
        <f>"529136"</f>
        <v>529136</v>
      </c>
      <c r="D3264" s="12" t="s">
        <v>1116</v>
      </c>
      <c r="E3264" s="14" t="s">
        <v>82</v>
      </c>
      <c r="F3264" s="12" t="s">
        <v>3</v>
      </c>
      <c r="G3264" s="15">
        <v>100</v>
      </c>
      <c r="H3264" s="12" t="s">
        <v>1114</v>
      </c>
      <c r="I3264" s="12" t="s">
        <v>68</v>
      </c>
      <c r="K3264" s="16">
        <v>5.19</v>
      </c>
      <c r="L3264" s="16">
        <v>8.2799999999999994</v>
      </c>
      <c r="M3264" s="16">
        <v>6.29</v>
      </c>
    </row>
    <row r="3265" spans="2:13" ht="22.5" outlineLevel="3" x14ac:dyDescent="0.2">
      <c r="B3265" s="4" t="str">
        <f t="shared" si="100"/>
        <v>0011250100</v>
      </c>
      <c r="C3265" s="5" t="str">
        <f>"584913"</f>
        <v>584913</v>
      </c>
      <c r="D3265" s="12" t="s">
        <v>1115</v>
      </c>
      <c r="E3265" s="14" t="s">
        <v>82</v>
      </c>
      <c r="F3265" s="12" t="s">
        <v>432</v>
      </c>
      <c r="G3265" s="15">
        <v>98</v>
      </c>
      <c r="H3265" s="12" t="s">
        <v>1114</v>
      </c>
      <c r="I3265" s="12" t="s">
        <v>104</v>
      </c>
      <c r="K3265" s="16">
        <v>5.19</v>
      </c>
      <c r="L3265" s="16">
        <v>8.2799999999999994</v>
      </c>
      <c r="M3265" s="16">
        <v>6.29</v>
      </c>
    </row>
    <row r="3266" spans="2:13" ht="33.75" outlineLevel="3" x14ac:dyDescent="0.2">
      <c r="B3266" s="4" t="str">
        <f t="shared" si="100"/>
        <v>0011250100</v>
      </c>
      <c r="C3266" s="5" t="str">
        <f>"193647"</f>
        <v>193647</v>
      </c>
      <c r="D3266" s="12" t="s">
        <v>1120</v>
      </c>
      <c r="E3266" s="14" t="s">
        <v>82</v>
      </c>
      <c r="F3266" s="12" t="s">
        <v>3</v>
      </c>
      <c r="G3266" s="15">
        <v>100</v>
      </c>
      <c r="H3266" s="12" t="s">
        <v>1114</v>
      </c>
      <c r="I3266" s="12" t="s">
        <v>30</v>
      </c>
      <c r="K3266" s="16">
        <v>5.18</v>
      </c>
      <c r="L3266" s="16">
        <v>8.26</v>
      </c>
      <c r="M3266" s="16">
        <v>6.29</v>
      </c>
    </row>
    <row r="3267" spans="2:13" ht="33.75" outlineLevel="3" x14ac:dyDescent="0.2">
      <c r="B3267" s="4" t="str">
        <f t="shared" si="100"/>
        <v>0011250100</v>
      </c>
      <c r="C3267" s="5" t="str">
        <f>"467267"</f>
        <v>467267</v>
      </c>
      <c r="D3267" s="12" t="s">
        <v>1123</v>
      </c>
      <c r="E3267" s="14" t="s">
        <v>82</v>
      </c>
      <c r="F3267" s="12" t="s">
        <v>3</v>
      </c>
      <c r="G3267" s="15">
        <v>98</v>
      </c>
      <c r="H3267" s="12" t="s">
        <v>1114</v>
      </c>
      <c r="I3267" s="12" t="s">
        <v>79</v>
      </c>
      <c r="K3267" s="16">
        <v>3.22</v>
      </c>
      <c r="L3267" s="16">
        <v>5.14</v>
      </c>
      <c r="M3267" s="16">
        <v>6.29</v>
      </c>
    </row>
    <row r="3268" spans="2:13" ht="33.75" outlineLevel="3" x14ac:dyDescent="0.2">
      <c r="B3268" s="4" t="str">
        <f t="shared" si="100"/>
        <v>0011250100</v>
      </c>
      <c r="C3268" s="5" t="str">
        <f>"155719"</f>
        <v>155719</v>
      </c>
      <c r="D3268" s="12" t="s">
        <v>1121</v>
      </c>
      <c r="E3268" s="14" t="s">
        <v>82</v>
      </c>
      <c r="F3268" s="12" t="s">
        <v>3</v>
      </c>
      <c r="G3268" s="15">
        <v>98</v>
      </c>
      <c r="H3268" s="12" t="s">
        <v>1114</v>
      </c>
      <c r="I3268" s="12" t="s">
        <v>675</v>
      </c>
      <c r="K3268" s="16">
        <v>3</v>
      </c>
      <c r="L3268" s="16">
        <v>4.79</v>
      </c>
      <c r="M3268" s="16">
        <v>6.29</v>
      </c>
    </row>
    <row r="3269" spans="2:13" outlineLevel="2" x14ac:dyDescent="0.2"/>
    <row r="3270" spans="2:13" ht="33.75" outlineLevel="3" x14ac:dyDescent="0.2">
      <c r="B3270" s="4" t="str">
        <f t="shared" ref="B3270:B3279" si="101">"0011260030"</f>
        <v>0011260030</v>
      </c>
      <c r="C3270" s="5" t="str">
        <f>"005867"</f>
        <v>005867</v>
      </c>
      <c r="D3270" s="12" t="s">
        <v>1119</v>
      </c>
      <c r="E3270" s="14" t="s">
        <v>25</v>
      </c>
      <c r="F3270" s="12" t="s">
        <v>3</v>
      </c>
      <c r="G3270" s="15">
        <v>28</v>
      </c>
      <c r="H3270" s="12" t="s">
        <v>1114</v>
      </c>
      <c r="I3270" s="12" t="s">
        <v>492</v>
      </c>
      <c r="K3270" s="16">
        <v>15.73</v>
      </c>
      <c r="L3270" s="16">
        <v>24.38</v>
      </c>
      <c r="M3270" s="16">
        <v>6</v>
      </c>
    </row>
    <row r="3271" spans="2:13" ht="33.75" outlineLevel="3" x14ac:dyDescent="0.2">
      <c r="B3271" s="4" t="str">
        <f t="shared" si="101"/>
        <v>0011260030</v>
      </c>
      <c r="C3271" s="5" t="str">
        <f>"081194"</f>
        <v>081194</v>
      </c>
      <c r="D3271" s="12" t="s">
        <v>1116</v>
      </c>
      <c r="E3271" s="14" t="s">
        <v>25</v>
      </c>
      <c r="F3271" s="12" t="s">
        <v>3</v>
      </c>
      <c r="G3271" s="15">
        <v>30</v>
      </c>
      <c r="H3271" s="12" t="s">
        <v>1114</v>
      </c>
      <c r="I3271" s="12" t="s">
        <v>68</v>
      </c>
      <c r="K3271" s="16">
        <v>4.6100000000000003</v>
      </c>
      <c r="L3271" s="16">
        <v>7.35</v>
      </c>
      <c r="M3271" s="16">
        <v>6</v>
      </c>
    </row>
    <row r="3272" spans="2:13" ht="33.75" outlineLevel="3" x14ac:dyDescent="0.2">
      <c r="B3272" s="4" t="str">
        <f t="shared" si="101"/>
        <v>0011260030</v>
      </c>
      <c r="C3272" s="5" t="str">
        <f>"125300"</f>
        <v>125300</v>
      </c>
      <c r="D3272" s="12" t="s">
        <v>1120</v>
      </c>
      <c r="E3272" s="14" t="s">
        <v>25</v>
      </c>
      <c r="F3272" s="12" t="s">
        <v>3</v>
      </c>
      <c r="G3272" s="15">
        <v>30</v>
      </c>
      <c r="H3272" s="12" t="s">
        <v>1114</v>
      </c>
      <c r="I3272" s="12" t="s">
        <v>30</v>
      </c>
      <c r="K3272" s="16">
        <v>4.6100000000000003</v>
      </c>
      <c r="L3272" s="16">
        <v>7.35</v>
      </c>
      <c r="M3272" s="16">
        <v>6</v>
      </c>
    </row>
    <row r="3273" spans="2:13" ht="33.75" outlineLevel="3" x14ac:dyDescent="0.2">
      <c r="B3273" s="4" t="str">
        <f t="shared" si="101"/>
        <v>0011260030</v>
      </c>
      <c r="C3273" s="5" t="str">
        <f>"127713"</f>
        <v>127713</v>
      </c>
      <c r="D3273" s="12" t="s">
        <v>1118</v>
      </c>
      <c r="E3273" s="14" t="s">
        <v>25</v>
      </c>
      <c r="F3273" s="12" t="s">
        <v>3</v>
      </c>
      <c r="G3273" s="15">
        <v>28</v>
      </c>
      <c r="H3273" s="12" t="s">
        <v>1114</v>
      </c>
      <c r="I3273" s="12" t="s">
        <v>492</v>
      </c>
      <c r="K3273" s="16">
        <v>4.6100000000000003</v>
      </c>
      <c r="L3273" s="16">
        <v>7.35</v>
      </c>
      <c r="M3273" s="16">
        <v>6</v>
      </c>
    </row>
    <row r="3274" spans="2:13" ht="22.5" outlineLevel="3" x14ac:dyDescent="0.2">
      <c r="B3274" s="4" t="str">
        <f t="shared" si="101"/>
        <v>0011260030</v>
      </c>
      <c r="C3274" s="5" t="str">
        <f>"164139"</f>
        <v>164139</v>
      </c>
      <c r="D3274" s="12" t="s">
        <v>1115</v>
      </c>
      <c r="E3274" s="14" t="s">
        <v>25</v>
      </c>
      <c r="F3274" s="12" t="s">
        <v>432</v>
      </c>
      <c r="G3274" s="15">
        <v>28</v>
      </c>
      <c r="H3274" s="12" t="s">
        <v>1114</v>
      </c>
      <c r="I3274" s="12" t="s">
        <v>104</v>
      </c>
      <c r="K3274" s="16">
        <v>4.6100000000000003</v>
      </c>
      <c r="L3274" s="16">
        <v>7.35</v>
      </c>
      <c r="M3274" s="16">
        <v>6</v>
      </c>
    </row>
    <row r="3275" spans="2:13" ht="33.75" outlineLevel="3" x14ac:dyDescent="0.2">
      <c r="B3275" s="4" t="str">
        <f t="shared" si="101"/>
        <v>0011260030</v>
      </c>
      <c r="C3275" s="5" t="str">
        <f>"173411"</f>
        <v>173411</v>
      </c>
      <c r="D3275" s="12" t="s">
        <v>1115</v>
      </c>
      <c r="E3275" s="14" t="s">
        <v>25</v>
      </c>
      <c r="F3275" s="12" t="s">
        <v>3</v>
      </c>
      <c r="G3275" s="15">
        <v>28</v>
      </c>
      <c r="H3275" s="12" t="s">
        <v>1114</v>
      </c>
      <c r="I3275" s="12" t="s">
        <v>28</v>
      </c>
      <c r="K3275" s="16">
        <v>4.6100000000000003</v>
      </c>
      <c r="L3275" s="16">
        <v>7.35</v>
      </c>
      <c r="M3275" s="16">
        <v>6</v>
      </c>
    </row>
    <row r="3276" spans="2:13" ht="33.75" outlineLevel="3" x14ac:dyDescent="0.2">
      <c r="B3276" s="4" t="str">
        <f t="shared" si="101"/>
        <v>0011260030</v>
      </c>
      <c r="C3276" s="5" t="str">
        <f>"103826"</f>
        <v>103826</v>
      </c>
      <c r="D3276" s="12" t="s">
        <v>1113</v>
      </c>
      <c r="E3276" s="14" t="s">
        <v>25</v>
      </c>
      <c r="F3276" s="12" t="s">
        <v>3</v>
      </c>
      <c r="G3276" s="15">
        <v>28</v>
      </c>
      <c r="H3276" s="12" t="s">
        <v>1114</v>
      </c>
      <c r="I3276" s="12" t="s">
        <v>70</v>
      </c>
      <c r="J3276" s="2" t="s">
        <v>1400</v>
      </c>
      <c r="K3276" s="16">
        <v>4.5999999999999996</v>
      </c>
      <c r="L3276" s="16">
        <v>7.34</v>
      </c>
      <c r="M3276" s="16">
        <v>6</v>
      </c>
    </row>
    <row r="3277" spans="2:13" ht="22.5" outlineLevel="3" x14ac:dyDescent="0.2">
      <c r="B3277" s="4" t="str">
        <f t="shared" si="101"/>
        <v>0011260030</v>
      </c>
      <c r="C3277" s="5" t="str">
        <f>"145188"</f>
        <v>145188</v>
      </c>
      <c r="D3277" s="12" t="s">
        <v>1113</v>
      </c>
      <c r="E3277" s="14" t="s">
        <v>25</v>
      </c>
      <c r="F3277" s="12" t="s">
        <v>432</v>
      </c>
      <c r="G3277" s="15">
        <v>28</v>
      </c>
      <c r="H3277" s="12" t="s">
        <v>1114</v>
      </c>
      <c r="I3277" s="12" t="s">
        <v>70</v>
      </c>
      <c r="K3277" s="16">
        <v>4.5999999999999996</v>
      </c>
      <c r="L3277" s="16">
        <v>7.34</v>
      </c>
      <c r="M3277" s="16">
        <v>6</v>
      </c>
    </row>
    <row r="3278" spans="2:13" ht="33.75" outlineLevel="3" x14ac:dyDescent="0.2">
      <c r="B3278" s="4" t="str">
        <f t="shared" si="101"/>
        <v>0011260030</v>
      </c>
      <c r="C3278" s="5" t="str">
        <f>"456870"</f>
        <v>456870</v>
      </c>
      <c r="D3278" s="12" t="s">
        <v>1122</v>
      </c>
      <c r="E3278" s="14" t="s">
        <v>25</v>
      </c>
      <c r="F3278" s="12" t="s">
        <v>3</v>
      </c>
      <c r="G3278" s="15">
        <v>28</v>
      </c>
      <c r="H3278" s="12" t="s">
        <v>1114</v>
      </c>
      <c r="I3278" s="12" t="s">
        <v>355</v>
      </c>
      <c r="J3278" s="2" t="s">
        <v>1400</v>
      </c>
      <c r="K3278" s="16">
        <v>4</v>
      </c>
      <c r="L3278" s="16">
        <v>6.38</v>
      </c>
      <c r="M3278" s="16">
        <v>6</v>
      </c>
    </row>
    <row r="3279" spans="2:13" ht="33.75" outlineLevel="3" x14ac:dyDescent="0.2">
      <c r="B3279" s="4" t="str">
        <f t="shared" si="101"/>
        <v>0011260030</v>
      </c>
      <c r="C3279" s="5" t="str">
        <f>"536503"</f>
        <v>536503</v>
      </c>
      <c r="D3279" s="12" t="s">
        <v>1121</v>
      </c>
      <c r="E3279" s="14" t="s">
        <v>25</v>
      </c>
      <c r="F3279" s="12" t="s">
        <v>3</v>
      </c>
      <c r="G3279" s="15">
        <v>28</v>
      </c>
      <c r="H3279" s="12" t="s">
        <v>1114</v>
      </c>
      <c r="I3279" s="12" t="s">
        <v>675</v>
      </c>
      <c r="K3279" s="16">
        <v>2.82</v>
      </c>
      <c r="L3279" s="16">
        <v>4.5</v>
      </c>
      <c r="M3279" s="16">
        <v>6</v>
      </c>
    </row>
    <row r="3280" spans="2:13" outlineLevel="2" x14ac:dyDescent="0.2"/>
    <row r="3281" spans="2:13" ht="33.75" outlineLevel="3" x14ac:dyDescent="0.2">
      <c r="B3281" s="4" t="str">
        <f>"0011260056"</f>
        <v>0011260056</v>
      </c>
      <c r="C3281" s="5" t="str">
        <f>"081205"</f>
        <v>081205</v>
      </c>
      <c r="D3281" s="12" t="s">
        <v>1116</v>
      </c>
      <c r="E3281" s="14" t="s">
        <v>25</v>
      </c>
      <c r="F3281" s="12" t="s">
        <v>3</v>
      </c>
      <c r="G3281" s="15">
        <v>56</v>
      </c>
      <c r="H3281" s="12" t="s">
        <v>1114</v>
      </c>
      <c r="I3281" s="12" t="s">
        <v>68</v>
      </c>
      <c r="K3281" s="16">
        <v>19.72</v>
      </c>
      <c r="L3281" s="16">
        <v>30.29</v>
      </c>
      <c r="M3281" s="16">
        <v>31.79</v>
      </c>
    </row>
    <row r="3282" spans="2:13" ht="33.75" outlineLevel="3" x14ac:dyDescent="0.2">
      <c r="B3282" s="4" t="str">
        <f>"0011260056"</f>
        <v>0011260056</v>
      </c>
      <c r="C3282" s="5" t="str">
        <f>"383289"</f>
        <v>383289</v>
      </c>
      <c r="D3282" s="12" t="s">
        <v>1113</v>
      </c>
      <c r="E3282" s="14" t="s">
        <v>25</v>
      </c>
      <c r="F3282" s="12" t="s">
        <v>3</v>
      </c>
      <c r="G3282" s="15">
        <v>56</v>
      </c>
      <c r="H3282" s="12" t="s">
        <v>1114</v>
      </c>
      <c r="I3282" s="12" t="s">
        <v>70</v>
      </c>
      <c r="K3282" s="16">
        <v>19.72</v>
      </c>
      <c r="L3282" s="16">
        <v>30.29</v>
      </c>
      <c r="M3282" s="16">
        <v>31.79</v>
      </c>
    </row>
    <row r="3283" spans="2:13" ht="33.75" outlineLevel="3" x14ac:dyDescent="0.2">
      <c r="B3283" s="4" t="str">
        <f>"0011260056"</f>
        <v>0011260056</v>
      </c>
      <c r="C3283" s="5" t="str">
        <f>"473933"</f>
        <v>473933</v>
      </c>
      <c r="D3283" s="12" t="s">
        <v>1115</v>
      </c>
      <c r="E3283" s="14" t="s">
        <v>25</v>
      </c>
      <c r="F3283" s="12" t="s">
        <v>3</v>
      </c>
      <c r="G3283" s="15">
        <v>56</v>
      </c>
      <c r="H3283" s="12" t="s">
        <v>1114</v>
      </c>
      <c r="I3283" s="12" t="s">
        <v>28</v>
      </c>
      <c r="K3283" s="16">
        <v>19.72</v>
      </c>
      <c r="L3283" s="16">
        <v>30.29</v>
      </c>
      <c r="M3283" s="16">
        <v>31.79</v>
      </c>
    </row>
    <row r="3284" spans="2:13" ht="33.75" outlineLevel="3" x14ac:dyDescent="0.2">
      <c r="B3284" s="4" t="str">
        <f>"0011260056"</f>
        <v>0011260056</v>
      </c>
      <c r="C3284" s="5" t="str">
        <f>"568270"</f>
        <v>568270</v>
      </c>
      <c r="D3284" s="12" t="s">
        <v>1122</v>
      </c>
      <c r="E3284" s="14" t="s">
        <v>25</v>
      </c>
      <c r="F3284" s="12" t="s">
        <v>3</v>
      </c>
      <c r="G3284" s="15">
        <v>56</v>
      </c>
      <c r="H3284" s="12" t="s">
        <v>1114</v>
      </c>
      <c r="I3284" s="12" t="s">
        <v>355</v>
      </c>
      <c r="J3284" s="2" t="s">
        <v>1400</v>
      </c>
      <c r="K3284" s="16">
        <v>11</v>
      </c>
      <c r="L3284" s="16">
        <v>17.350000000000001</v>
      </c>
      <c r="M3284" s="16">
        <v>31.79</v>
      </c>
    </row>
    <row r="3285" spans="2:13" outlineLevel="2" x14ac:dyDescent="0.2"/>
    <row r="3286" spans="2:13" ht="33.75" outlineLevel="3" x14ac:dyDescent="0.2">
      <c r="B3286" s="4" t="str">
        <f t="shared" ref="B3286:B3296" si="102">"0011260100"</f>
        <v>0011260100</v>
      </c>
      <c r="C3286" s="5" t="str">
        <f>"005902"</f>
        <v>005902</v>
      </c>
      <c r="D3286" s="12" t="s">
        <v>1119</v>
      </c>
      <c r="E3286" s="14" t="s">
        <v>25</v>
      </c>
      <c r="F3286" s="12" t="s">
        <v>3</v>
      </c>
      <c r="G3286" s="15">
        <v>100</v>
      </c>
      <c r="H3286" s="12" t="s">
        <v>1114</v>
      </c>
      <c r="I3286" s="12" t="s">
        <v>492</v>
      </c>
      <c r="K3286" s="16">
        <v>48.9</v>
      </c>
      <c r="L3286" s="16">
        <v>73.34</v>
      </c>
      <c r="M3286" s="16">
        <v>25.99</v>
      </c>
    </row>
    <row r="3287" spans="2:13" ht="33.75" outlineLevel="3" x14ac:dyDescent="0.2">
      <c r="B3287" s="4" t="str">
        <f t="shared" si="102"/>
        <v>0011260100</v>
      </c>
      <c r="C3287" s="5" t="str">
        <f>"081217"</f>
        <v>081217</v>
      </c>
      <c r="D3287" s="12" t="s">
        <v>1116</v>
      </c>
      <c r="E3287" s="14" t="s">
        <v>25</v>
      </c>
      <c r="F3287" s="12" t="s">
        <v>3</v>
      </c>
      <c r="G3287" s="15">
        <v>100</v>
      </c>
      <c r="H3287" s="12" t="s">
        <v>1114</v>
      </c>
      <c r="I3287" s="12" t="s">
        <v>68</v>
      </c>
      <c r="K3287" s="16">
        <v>19.87</v>
      </c>
      <c r="L3287" s="16">
        <v>30.51</v>
      </c>
      <c r="M3287" s="16">
        <v>25.99</v>
      </c>
    </row>
    <row r="3288" spans="2:13" ht="33.75" outlineLevel="3" x14ac:dyDescent="0.2">
      <c r="B3288" s="4" t="str">
        <f t="shared" si="102"/>
        <v>0011260100</v>
      </c>
      <c r="C3288" s="5" t="str">
        <f>"184284"</f>
        <v>184284</v>
      </c>
      <c r="D3288" s="12" t="s">
        <v>1115</v>
      </c>
      <c r="E3288" s="14" t="s">
        <v>25</v>
      </c>
      <c r="F3288" s="12" t="s">
        <v>3</v>
      </c>
      <c r="G3288" s="15">
        <v>98</v>
      </c>
      <c r="H3288" s="12" t="s">
        <v>1114</v>
      </c>
      <c r="I3288" s="12" t="s">
        <v>28</v>
      </c>
      <c r="K3288" s="16">
        <v>19.87</v>
      </c>
      <c r="L3288" s="16">
        <v>30.51</v>
      </c>
      <c r="M3288" s="16">
        <v>25.99</v>
      </c>
    </row>
    <row r="3289" spans="2:13" ht="33.75" outlineLevel="3" x14ac:dyDescent="0.2">
      <c r="B3289" s="4" t="str">
        <f t="shared" si="102"/>
        <v>0011260100</v>
      </c>
      <c r="C3289" s="5" t="str">
        <f>"420381"</f>
        <v>420381</v>
      </c>
      <c r="D3289" s="12" t="s">
        <v>1115</v>
      </c>
      <c r="E3289" s="14" t="s">
        <v>25</v>
      </c>
      <c r="F3289" s="12" t="s">
        <v>3</v>
      </c>
      <c r="G3289" s="15">
        <v>100</v>
      </c>
      <c r="H3289" s="12" t="s">
        <v>1114</v>
      </c>
      <c r="I3289" s="12" t="s">
        <v>28</v>
      </c>
      <c r="K3289" s="16">
        <v>19.87</v>
      </c>
      <c r="L3289" s="16">
        <v>30.51</v>
      </c>
      <c r="M3289" s="16">
        <v>25.99</v>
      </c>
    </row>
    <row r="3290" spans="2:13" ht="22.5" outlineLevel="3" x14ac:dyDescent="0.2">
      <c r="B3290" s="4" t="str">
        <f t="shared" si="102"/>
        <v>0011260100</v>
      </c>
      <c r="C3290" s="5" t="str">
        <f>"424633"</f>
        <v>424633</v>
      </c>
      <c r="D3290" s="12" t="s">
        <v>1115</v>
      </c>
      <c r="E3290" s="14" t="s">
        <v>25</v>
      </c>
      <c r="F3290" s="12" t="s">
        <v>432</v>
      </c>
      <c r="G3290" s="15">
        <v>98</v>
      </c>
      <c r="H3290" s="12" t="s">
        <v>1114</v>
      </c>
      <c r="I3290" s="12" t="s">
        <v>104</v>
      </c>
      <c r="K3290" s="16">
        <v>19.87</v>
      </c>
      <c r="L3290" s="16">
        <v>30.51</v>
      </c>
      <c r="M3290" s="16">
        <v>25.99</v>
      </c>
    </row>
    <row r="3291" spans="2:13" ht="33.75" outlineLevel="3" x14ac:dyDescent="0.2">
      <c r="B3291" s="4" t="str">
        <f t="shared" si="102"/>
        <v>0011260100</v>
      </c>
      <c r="C3291" s="5" t="str">
        <f>"447872"</f>
        <v>447872</v>
      </c>
      <c r="D3291" s="12" t="s">
        <v>1118</v>
      </c>
      <c r="E3291" s="14" t="s">
        <v>25</v>
      </c>
      <c r="F3291" s="12" t="s">
        <v>3</v>
      </c>
      <c r="G3291" s="15">
        <v>100</v>
      </c>
      <c r="H3291" s="12" t="s">
        <v>1114</v>
      </c>
      <c r="I3291" s="12" t="s">
        <v>492</v>
      </c>
      <c r="J3291" s="2" t="s">
        <v>1400</v>
      </c>
      <c r="K3291" s="16">
        <v>19.86</v>
      </c>
      <c r="L3291" s="16">
        <v>30.5</v>
      </c>
      <c r="M3291" s="16">
        <v>25.99</v>
      </c>
    </row>
    <row r="3292" spans="2:13" ht="33.75" outlineLevel="3" x14ac:dyDescent="0.2">
      <c r="B3292" s="4" t="str">
        <f t="shared" si="102"/>
        <v>0011260100</v>
      </c>
      <c r="C3292" s="5" t="str">
        <f>"043366"</f>
        <v>043366</v>
      </c>
      <c r="D3292" s="12" t="s">
        <v>1120</v>
      </c>
      <c r="E3292" s="14" t="s">
        <v>25</v>
      </c>
      <c r="F3292" s="12" t="s">
        <v>3</v>
      </c>
      <c r="G3292" s="15">
        <v>100</v>
      </c>
      <c r="H3292" s="12" t="s">
        <v>1114</v>
      </c>
      <c r="I3292" s="12" t="s">
        <v>30</v>
      </c>
      <c r="K3292" s="16">
        <v>19.86</v>
      </c>
      <c r="L3292" s="16">
        <v>30.5</v>
      </c>
      <c r="M3292" s="16">
        <v>25.99</v>
      </c>
    </row>
    <row r="3293" spans="2:13" ht="33.75" outlineLevel="3" x14ac:dyDescent="0.2">
      <c r="B3293" s="4" t="str">
        <f t="shared" si="102"/>
        <v>0011260100</v>
      </c>
      <c r="C3293" s="5" t="str">
        <f>"391304"</f>
        <v>391304</v>
      </c>
      <c r="D3293" s="12" t="s">
        <v>1113</v>
      </c>
      <c r="E3293" s="14" t="s">
        <v>25</v>
      </c>
      <c r="F3293" s="12" t="s">
        <v>3</v>
      </c>
      <c r="G3293" s="15">
        <v>98</v>
      </c>
      <c r="H3293" s="12" t="s">
        <v>1114</v>
      </c>
      <c r="I3293" s="12" t="s">
        <v>70</v>
      </c>
      <c r="K3293" s="16">
        <v>19.86</v>
      </c>
      <c r="L3293" s="16">
        <v>30.5</v>
      </c>
      <c r="M3293" s="16">
        <v>25.99</v>
      </c>
    </row>
    <row r="3294" spans="2:13" ht="22.5" outlineLevel="3" x14ac:dyDescent="0.2">
      <c r="B3294" s="4" t="str">
        <f t="shared" si="102"/>
        <v>0011260100</v>
      </c>
      <c r="C3294" s="5" t="str">
        <f>"525976"</f>
        <v>525976</v>
      </c>
      <c r="D3294" s="12" t="s">
        <v>1113</v>
      </c>
      <c r="E3294" s="14" t="s">
        <v>25</v>
      </c>
      <c r="F3294" s="12" t="s">
        <v>432</v>
      </c>
      <c r="G3294" s="15">
        <v>98</v>
      </c>
      <c r="H3294" s="12" t="s">
        <v>1114</v>
      </c>
      <c r="I3294" s="12" t="s">
        <v>70</v>
      </c>
      <c r="K3294" s="16">
        <v>19.86</v>
      </c>
      <c r="L3294" s="16">
        <v>30.5</v>
      </c>
      <c r="M3294" s="16">
        <v>25.99</v>
      </c>
    </row>
    <row r="3295" spans="2:13" ht="33.75" outlineLevel="3" x14ac:dyDescent="0.2">
      <c r="B3295" s="4" t="str">
        <f t="shared" si="102"/>
        <v>0011260100</v>
      </c>
      <c r="C3295" s="5" t="str">
        <f>"443779"</f>
        <v>443779</v>
      </c>
      <c r="D3295" s="12" t="s">
        <v>1121</v>
      </c>
      <c r="E3295" s="14" t="s">
        <v>25</v>
      </c>
      <c r="F3295" s="12" t="s">
        <v>3</v>
      </c>
      <c r="G3295" s="15">
        <v>98</v>
      </c>
      <c r="H3295" s="12" t="s">
        <v>1114</v>
      </c>
      <c r="I3295" s="12" t="s">
        <v>675</v>
      </c>
      <c r="K3295" s="16">
        <v>16.82</v>
      </c>
      <c r="L3295" s="16">
        <v>25.99</v>
      </c>
      <c r="M3295" s="16">
        <v>25.99</v>
      </c>
    </row>
    <row r="3296" spans="2:13" ht="33.75" outlineLevel="3" x14ac:dyDescent="0.2">
      <c r="B3296" s="4" t="str">
        <f t="shared" si="102"/>
        <v>0011260100</v>
      </c>
      <c r="C3296" s="5" t="str">
        <f>"559076"</f>
        <v>559076</v>
      </c>
      <c r="D3296" s="12" t="s">
        <v>1122</v>
      </c>
      <c r="E3296" s="14" t="s">
        <v>25</v>
      </c>
      <c r="F3296" s="12" t="s">
        <v>3</v>
      </c>
      <c r="G3296" s="15">
        <v>98</v>
      </c>
      <c r="H3296" s="12" t="s">
        <v>1114</v>
      </c>
      <c r="I3296" s="12" t="s">
        <v>355</v>
      </c>
      <c r="K3296" s="16">
        <v>15.81</v>
      </c>
      <c r="L3296" s="16">
        <v>24.49</v>
      </c>
      <c r="M3296" s="16">
        <v>25.99</v>
      </c>
    </row>
    <row r="3297" spans="2:13" outlineLevel="2" x14ac:dyDescent="0.2"/>
    <row r="3298" spans="2:13" ht="33.75" outlineLevel="3" x14ac:dyDescent="0.2">
      <c r="B3298" s="4" t="str">
        <f t="shared" ref="B3298:B3309" si="103">"0011270030"</f>
        <v>0011270030</v>
      </c>
      <c r="C3298" s="5" t="str">
        <f>"005922"</f>
        <v>005922</v>
      </c>
      <c r="D3298" s="12" t="s">
        <v>1119</v>
      </c>
      <c r="E3298" s="14" t="s">
        <v>14</v>
      </c>
      <c r="F3298" s="12" t="s">
        <v>3</v>
      </c>
      <c r="G3298" s="15">
        <v>28</v>
      </c>
      <c r="H3298" s="12" t="s">
        <v>1114</v>
      </c>
      <c r="I3298" s="12" t="s">
        <v>492</v>
      </c>
      <c r="K3298" s="16">
        <v>21.37</v>
      </c>
      <c r="L3298" s="16">
        <v>32.75</v>
      </c>
      <c r="M3298" s="16">
        <v>5.04</v>
      </c>
    </row>
    <row r="3299" spans="2:13" ht="33.75" outlineLevel="3" x14ac:dyDescent="0.2">
      <c r="B3299" s="4" t="str">
        <f t="shared" si="103"/>
        <v>0011270030</v>
      </c>
      <c r="C3299" s="5" t="str">
        <f>"550832"</f>
        <v>550832</v>
      </c>
      <c r="D3299" s="12" t="s">
        <v>1122</v>
      </c>
      <c r="E3299" s="14" t="s">
        <v>14</v>
      </c>
      <c r="F3299" s="12" t="s">
        <v>3</v>
      </c>
      <c r="G3299" s="15">
        <v>28</v>
      </c>
      <c r="H3299" s="12" t="s">
        <v>1114</v>
      </c>
      <c r="I3299" s="12" t="s">
        <v>355</v>
      </c>
      <c r="J3299" s="2" t="s">
        <v>1400</v>
      </c>
      <c r="K3299" s="16">
        <v>10</v>
      </c>
      <c r="L3299" s="16">
        <v>15.86</v>
      </c>
      <c r="M3299" s="16">
        <v>5.04</v>
      </c>
    </row>
    <row r="3300" spans="2:13" ht="33.75" outlineLevel="3" x14ac:dyDescent="0.2">
      <c r="B3300" s="4" t="str">
        <f t="shared" si="103"/>
        <v>0011270030</v>
      </c>
      <c r="C3300" s="5" t="str">
        <f>"038036"</f>
        <v>038036</v>
      </c>
      <c r="D3300" s="12" t="s">
        <v>1117</v>
      </c>
      <c r="E3300" s="14" t="s">
        <v>14</v>
      </c>
      <c r="F3300" s="12" t="s">
        <v>3</v>
      </c>
      <c r="G3300" s="15">
        <v>28</v>
      </c>
      <c r="H3300" s="12" t="s">
        <v>1114</v>
      </c>
      <c r="I3300" s="12" t="s">
        <v>298</v>
      </c>
      <c r="K3300" s="16">
        <v>4.92</v>
      </c>
      <c r="L3300" s="16">
        <v>7.84</v>
      </c>
      <c r="M3300" s="16">
        <v>5.04</v>
      </c>
    </row>
    <row r="3301" spans="2:13" ht="33.75" outlineLevel="3" x14ac:dyDescent="0.2">
      <c r="B3301" s="4" t="str">
        <f t="shared" si="103"/>
        <v>0011270030</v>
      </c>
      <c r="C3301" s="5" t="str">
        <f>"081228"</f>
        <v>081228</v>
      </c>
      <c r="D3301" s="12" t="s">
        <v>1116</v>
      </c>
      <c r="E3301" s="14" t="s">
        <v>14</v>
      </c>
      <c r="F3301" s="12" t="s">
        <v>3</v>
      </c>
      <c r="G3301" s="15">
        <v>30</v>
      </c>
      <c r="H3301" s="12" t="s">
        <v>1114</v>
      </c>
      <c r="I3301" s="12" t="s">
        <v>68</v>
      </c>
      <c r="K3301" s="16">
        <v>4.92</v>
      </c>
      <c r="L3301" s="16">
        <v>7.84</v>
      </c>
      <c r="M3301" s="16">
        <v>5.04</v>
      </c>
    </row>
    <row r="3302" spans="2:13" ht="22.5" outlineLevel="3" x14ac:dyDescent="0.2">
      <c r="B3302" s="4" t="str">
        <f t="shared" si="103"/>
        <v>0011270030</v>
      </c>
      <c r="C3302" s="5" t="str">
        <f>"171054"</f>
        <v>171054</v>
      </c>
      <c r="D3302" s="12" t="s">
        <v>1113</v>
      </c>
      <c r="E3302" s="14" t="s">
        <v>14</v>
      </c>
      <c r="F3302" s="12" t="s">
        <v>432</v>
      </c>
      <c r="G3302" s="15">
        <v>28</v>
      </c>
      <c r="H3302" s="12" t="s">
        <v>1114</v>
      </c>
      <c r="I3302" s="12" t="s">
        <v>70</v>
      </c>
      <c r="K3302" s="16">
        <v>4.92</v>
      </c>
      <c r="L3302" s="16">
        <v>7.84</v>
      </c>
      <c r="M3302" s="16">
        <v>5.04</v>
      </c>
    </row>
    <row r="3303" spans="2:13" ht="33.75" outlineLevel="3" x14ac:dyDescent="0.2">
      <c r="B3303" s="4" t="str">
        <f t="shared" si="103"/>
        <v>0011270030</v>
      </c>
      <c r="C3303" s="5" t="str">
        <f>"392586"</f>
        <v>392586</v>
      </c>
      <c r="D3303" s="12" t="s">
        <v>1118</v>
      </c>
      <c r="E3303" s="14" t="s">
        <v>14</v>
      </c>
      <c r="F3303" s="12" t="s">
        <v>3</v>
      </c>
      <c r="G3303" s="15">
        <v>28</v>
      </c>
      <c r="H3303" s="12" t="s">
        <v>1114</v>
      </c>
      <c r="I3303" s="12" t="s">
        <v>492</v>
      </c>
      <c r="K3303" s="16">
        <v>4.92</v>
      </c>
      <c r="L3303" s="16">
        <v>7.84</v>
      </c>
      <c r="M3303" s="16">
        <v>5.04</v>
      </c>
    </row>
    <row r="3304" spans="2:13" ht="33.75" outlineLevel="3" x14ac:dyDescent="0.2">
      <c r="B3304" s="4" t="str">
        <f t="shared" si="103"/>
        <v>0011270030</v>
      </c>
      <c r="C3304" s="5" t="str">
        <f>"401155"</f>
        <v>401155</v>
      </c>
      <c r="D3304" s="12" t="s">
        <v>1120</v>
      </c>
      <c r="E3304" s="14" t="s">
        <v>14</v>
      </c>
      <c r="F3304" s="12" t="s">
        <v>3</v>
      </c>
      <c r="G3304" s="15">
        <v>30</v>
      </c>
      <c r="H3304" s="12" t="s">
        <v>1114</v>
      </c>
      <c r="I3304" s="12" t="s">
        <v>30</v>
      </c>
      <c r="K3304" s="16">
        <v>4.92</v>
      </c>
      <c r="L3304" s="16">
        <v>7.84</v>
      </c>
      <c r="M3304" s="16">
        <v>5.04</v>
      </c>
    </row>
    <row r="3305" spans="2:13" ht="22.5" outlineLevel="3" x14ac:dyDescent="0.2">
      <c r="B3305" s="4" t="str">
        <f t="shared" si="103"/>
        <v>0011270030</v>
      </c>
      <c r="C3305" s="5" t="str">
        <f>"453804"</f>
        <v>453804</v>
      </c>
      <c r="D3305" s="12" t="s">
        <v>1115</v>
      </c>
      <c r="E3305" s="14" t="s">
        <v>14</v>
      </c>
      <c r="F3305" s="12" t="s">
        <v>432</v>
      </c>
      <c r="G3305" s="15">
        <v>28</v>
      </c>
      <c r="H3305" s="12" t="s">
        <v>1114</v>
      </c>
      <c r="I3305" s="12" t="s">
        <v>104</v>
      </c>
      <c r="K3305" s="16">
        <v>4.92</v>
      </c>
      <c r="L3305" s="16">
        <v>7.84</v>
      </c>
      <c r="M3305" s="16">
        <v>5.04</v>
      </c>
    </row>
    <row r="3306" spans="2:13" ht="33.75" outlineLevel="3" x14ac:dyDescent="0.2">
      <c r="B3306" s="4" t="str">
        <f t="shared" si="103"/>
        <v>0011270030</v>
      </c>
      <c r="C3306" s="5" t="str">
        <f>"501308"</f>
        <v>501308</v>
      </c>
      <c r="D3306" s="12" t="s">
        <v>1113</v>
      </c>
      <c r="E3306" s="14" t="s">
        <v>14</v>
      </c>
      <c r="F3306" s="12" t="s">
        <v>3</v>
      </c>
      <c r="G3306" s="15">
        <v>28</v>
      </c>
      <c r="H3306" s="12" t="s">
        <v>1114</v>
      </c>
      <c r="I3306" s="12" t="s">
        <v>70</v>
      </c>
      <c r="K3306" s="16">
        <v>4.92</v>
      </c>
      <c r="L3306" s="16">
        <v>7.84</v>
      </c>
      <c r="M3306" s="16">
        <v>5.04</v>
      </c>
    </row>
    <row r="3307" spans="2:13" ht="33.75" outlineLevel="3" x14ac:dyDescent="0.2">
      <c r="B3307" s="4" t="str">
        <f t="shared" si="103"/>
        <v>0011270030</v>
      </c>
      <c r="C3307" s="5" t="str">
        <f>"569163"</f>
        <v>569163</v>
      </c>
      <c r="D3307" s="12" t="s">
        <v>1115</v>
      </c>
      <c r="E3307" s="14" t="s">
        <v>14</v>
      </c>
      <c r="F3307" s="12" t="s">
        <v>3</v>
      </c>
      <c r="G3307" s="15">
        <v>28</v>
      </c>
      <c r="H3307" s="12" t="s">
        <v>1114</v>
      </c>
      <c r="I3307" s="12" t="s">
        <v>28</v>
      </c>
      <c r="K3307" s="16">
        <v>4.92</v>
      </c>
      <c r="L3307" s="16">
        <v>7.84</v>
      </c>
      <c r="M3307" s="16">
        <v>5.04</v>
      </c>
    </row>
    <row r="3308" spans="2:13" ht="33.75" outlineLevel="3" x14ac:dyDescent="0.2">
      <c r="B3308" s="4" t="str">
        <f t="shared" si="103"/>
        <v>0011270030</v>
      </c>
      <c r="C3308" s="5" t="str">
        <f>"418641"</f>
        <v>418641</v>
      </c>
      <c r="D3308" s="12" t="s">
        <v>1121</v>
      </c>
      <c r="E3308" s="14" t="s">
        <v>14</v>
      </c>
      <c r="F3308" s="12" t="s">
        <v>3</v>
      </c>
      <c r="G3308" s="15">
        <v>28</v>
      </c>
      <c r="H3308" s="12" t="s">
        <v>1114</v>
      </c>
      <c r="I3308" s="12" t="s">
        <v>675</v>
      </c>
      <c r="K3308" s="16">
        <v>3</v>
      </c>
      <c r="L3308" s="16">
        <v>4.79</v>
      </c>
      <c r="M3308" s="16">
        <v>5.04</v>
      </c>
    </row>
    <row r="3309" spans="2:13" ht="33.75" outlineLevel="3" x14ac:dyDescent="0.2">
      <c r="B3309" s="4" t="str">
        <f t="shared" si="103"/>
        <v>0011270030</v>
      </c>
      <c r="C3309" s="5" t="str">
        <f>"086123"</f>
        <v>086123</v>
      </c>
      <c r="D3309" s="12" t="s">
        <v>1123</v>
      </c>
      <c r="E3309" s="14" t="s">
        <v>14</v>
      </c>
      <c r="F3309" s="12" t="s">
        <v>3</v>
      </c>
      <c r="G3309" s="15">
        <v>28</v>
      </c>
      <c r="H3309" s="12" t="s">
        <v>1114</v>
      </c>
      <c r="I3309" s="12" t="s">
        <v>79</v>
      </c>
      <c r="K3309" s="16">
        <v>2.2200000000000002</v>
      </c>
      <c r="L3309" s="16">
        <v>3.54</v>
      </c>
      <c r="M3309" s="16">
        <v>5.04</v>
      </c>
    </row>
    <row r="3310" spans="2:13" outlineLevel="2" x14ac:dyDescent="0.2"/>
    <row r="3311" spans="2:13" ht="33.75" outlineLevel="3" x14ac:dyDescent="0.2">
      <c r="B3311" s="4" t="str">
        <f>"0011270056"</f>
        <v>0011270056</v>
      </c>
      <c r="C3311" s="5" t="str">
        <f>"081239"</f>
        <v>081239</v>
      </c>
      <c r="D3311" s="12" t="s">
        <v>1116</v>
      </c>
      <c r="E3311" s="14" t="s">
        <v>14</v>
      </c>
      <c r="F3311" s="12" t="s">
        <v>3</v>
      </c>
      <c r="G3311" s="15">
        <v>56</v>
      </c>
      <c r="H3311" s="12" t="s">
        <v>1114</v>
      </c>
      <c r="I3311" s="12" t="s">
        <v>68</v>
      </c>
      <c r="K3311" s="16">
        <v>18.84</v>
      </c>
      <c r="L3311" s="16">
        <v>28.99</v>
      </c>
      <c r="M3311" s="16">
        <v>30.47</v>
      </c>
    </row>
    <row r="3312" spans="2:13" ht="33.75" outlineLevel="3" x14ac:dyDescent="0.2">
      <c r="B3312" s="4" t="str">
        <f>"0011270056"</f>
        <v>0011270056</v>
      </c>
      <c r="C3312" s="5" t="str">
        <f>"194733"</f>
        <v>194733</v>
      </c>
      <c r="D3312" s="12" t="s">
        <v>1115</v>
      </c>
      <c r="E3312" s="14" t="s">
        <v>14</v>
      </c>
      <c r="F3312" s="12" t="s">
        <v>3</v>
      </c>
      <c r="G3312" s="15">
        <v>56</v>
      </c>
      <c r="H3312" s="12" t="s">
        <v>1114</v>
      </c>
      <c r="I3312" s="12" t="s">
        <v>28</v>
      </c>
      <c r="K3312" s="16">
        <v>18.84</v>
      </c>
      <c r="L3312" s="16">
        <v>28.99</v>
      </c>
      <c r="M3312" s="16">
        <v>30.47</v>
      </c>
    </row>
    <row r="3313" spans="2:13" ht="33.75" outlineLevel="3" x14ac:dyDescent="0.2">
      <c r="B3313" s="4" t="str">
        <f>"0011270056"</f>
        <v>0011270056</v>
      </c>
      <c r="C3313" s="5" t="str">
        <f>"105905"</f>
        <v>105905</v>
      </c>
      <c r="D3313" s="12" t="s">
        <v>1120</v>
      </c>
      <c r="E3313" s="14" t="s">
        <v>14</v>
      </c>
      <c r="F3313" s="12" t="s">
        <v>3</v>
      </c>
      <c r="G3313" s="15">
        <v>56</v>
      </c>
      <c r="H3313" s="12" t="s">
        <v>1114</v>
      </c>
      <c r="I3313" s="12" t="s">
        <v>30</v>
      </c>
      <c r="K3313" s="16">
        <v>18.829999999999998</v>
      </c>
      <c r="L3313" s="16">
        <v>28.97</v>
      </c>
      <c r="M3313" s="16">
        <v>30.47</v>
      </c>
    </row>
    <row r="3314" spans="2:13" ht="33.75" outlineLevel="3" x14ac:dyDescent="0.2">
      <c r="B3314" s="4" t="str">
        <f>"0011270056"</f>
        <v>0011270056</v>
      </c>
      <c r="C3314" s="5" t="str">
        <f>"578176"</f>
        <v>578176</v>
      </c>
      <c r="D3314" s="12" t="s">
        <v>1122</v>
      </c>
      <c r="E3314" s="14" t="s">
        <v>14</v>
      </c>
      <c r="F3314" s="12" t="s">
        <v>3</v>
      </c>
      <c r="G3314" s="15">
        <v>56</v>
      </c>
      <c r="H3314" s="12" t="s">
        <v>1114</v>
      </c>
      <c r="I3314" s="12" t="s">
        <v>355</v>
      </c>
      <c r="J3314" s="2" t="s">
        <v>1400</v>
      </c>
      <c r="K3314" s="16">
        <v>10</v>
      </c>
      <c r="L3314" s="16">
        <v>15.86</v>
      </c>
      <c r="M3314" s="16">
        <v>30.47</v>
      </c>
    </row>
    <row r="3315" spans="2:13" outlineLevel="2" x14ac:dyDescent="0.2"/>
    <row r="3316" spans="2:13" ht="33.75" outlineLevel="3" x14ac:dyDescent="0.2">
      <c r="B3316" s="4" t="str">
        <f t="shared" ref="B3316:B3328" si="104">"0011270100"</f>
        <v>0011270100</v>
      </c>
      <c r="C3316" s="5" t="str">
        <f>"011314"</f>
        <v>011314</v>
      </c>
      <c r="D3316" s="12" t="s">
        <v>1119</v>
      </c>
      <c r="E3316" s="14" t="s">
        <v>14</v>
      </c>
      <c r="F3316" s="12" t="s">
        <v>3</v>
      </c>
      <c r="G3316" s="15">
        <v>100</v>
      </c>
      <c r="H3316" s="12" t="s">
        <v>1114</v>
      </c>
      <c r="I3316" s="12" t="s">
        <v>492</v>
      </c>
      <c r="K3316" s="16">
        <v>66.48</v>
      </c>
      <c r="L3316" s="16">
        <v>97.5</v>
      </c>
      <c r="M3316" s="16">
        <v>19.010000000000002</v>
      </c>
    </row>
    <row r="3317" spans="2:13" ht="33.75" outlineLevel="3" x14ac:dyDescent="0.2">
      <c r="B3317" s="4" t="str">
        <f t="shared" si="104"/>
        <v>0011270100</v>
      </c>
      <c r="C3317" s="5" t="str">
        <f>"038103"</f>
        <v>038103</v>
      </c>
      <c r="D3317" s="12" t="s">
        <v>1117</v>
      </c>
      <c r="E3317" s="14" t="s">
        <v>14</v>
      </c>
      <c r="F3317" s="12" t="s">
        <v>3</v>
      </c>
      <c r="G3317" s="15">
        <v>100</v>
      </c>
      <c r="H3317" s="12" t="s">
        <v>1114</v>
      </c>
      <c r="I3317" s="12" t="s">
        <v>298</v>
      </c>
      <c r="K3317" s="16">
        <v>14.38</v>
      </c>
      <c r="L3317" s="16">
        <v>22.36</v>
      </c>
      <c r="M3317" s="16">
        <v>19.010000000000002</v>
      </c>
    </row>
    <row r="3318" spans="2:13" ht="33.75" outlineLevel="3" x14ac:dyDescent="0.2">
      <c r="B3318" s="4" t="str">
        <f t="shared" si="104"/>
        <v>0011270100</v>
      </c>
      <c r="C3318" s="5" t="str">
        <f>"081250"</f>
        <v>081250</v>
      </c>
      <c r="D3318" s="12" t="s">
        <v>1116</v>
      </c>
      <c r="E3318" s="14" t="s">
        <v>14</v>
      </c>
      <c r="F3318" s="12" t="s">
        <v>3</v>
      </c>
      <c r="G3318" s="15">
        <v>100</v>
      </c>
      <c r="H3318" s="12" t="s">
        <v>1114</v>
      </c>
      <c r="I3318" s="12" t="s">
        <v>68</v>
      </c>
      <c r="K3318" s="16">
        <v>14.38</v>
      </c>
      <c r="L3318" s="16">
        <v>22.36</v>
      </c>
      <c r="M3318" s="16">
        <v>19.010000000000002</v>
      </c>
    </row>
    <row r="3319" spans="2:13" ht="33.75" outlineLevel="3" x14ac:dyDescent="0.2">
      <c r="B3319" s="4" t="str">
        <f t="shared" si="104"/>
        <v>0011270100</v>
      </c>
      <c r="C3319" s="5" t="str">
        <f>"102227"</f>
        <v>102227</v>
      </c>
      <c r="D3319" s="12" t="s">
        <v>1115</v>
      </c>
      <c r="E3319" s="14" t="s">
        <v>14</v>
      </c>
      <c r="F3319" s="12" t="s">
        <v>3</v>
      </c>
      <c r="G3319" s="15">
        <v>98</v>
      </c>
      <c r="H3319" s="12" t="s">
        <v>1114</v>
      </c>
      <c r="I3319" s="12" t="s">
        <v>28</v>
      </c>
      <c r="K3319" s="16">
        <v>14.38</v>
      </c>
      <c r="L3319" s="16">
        <v>22.36</v>
      </c>
      <c r="M3319" s="16">
        <v>19.010000000000002</v>
      </c>
    </row>
    <row r="3320" spans="2:13" ht="33.75" outlineLevel="3" x14ac:dyDescent="0.2">
      <c r="B3320" s="4" t="str">
        <f t="shared" si="104"/>
        <v>0011270100</v>
      </c>
      <c r="C3320" s="5" t="str">
        <f>"175369"</f>
        <v>175369</v>
      </c>
      <c r="D3320" s="12" t="s">
        <v>1123</v>
      </c>
      <c r="E3320" s="14" t="s">
        <v>14</v>
      </c>
      <c r="F3320" s="12" t="s">
        <v>3</v>
      </c>
      <c r="G3320" s="15">
        <v>98</v>
      </c>
      <c r="H3320" s="12" t="s">
        <v>1114</v>
      </c>
      <c r="I3320" s="12" t="s">
        <v>79</v>
      </c>
      <c r="K3320" s="16">
        <v>14.38</v>
      </c>
      <c r="L3320" s="16">
        <v>22.36</v>
      </c>
      <c r="M3320" s="16">
        <v>19.010000000000002</v>
      </c>
    </row>
    <row r="3321" spans="2:13" ht="33.75" outlineLevel="3" x14ac:dyDescent="0.2">
      <c r="B3321" s="4" t="str">
        <f t="shared" si="104"/>
        <v>0011270100</v>
      </c>
      <c r="C3321" s="5" t="str">
        <f>"182023"</f>
        <v>182023</v>
      </c>
      <c r="D3321" s="12" t="s">
        <v>1120</v>
      </c>
      <c r="E3321" s="14" t="s">
        <v>14</v>
      </c>
      <c r="F3321" s="12" t="s">
        <v>3</v>
      </c>
      <c r="G3321" s="15">
        <v>100</v>
      </c>
      <c r="H3321" s="12" t="s">
        <v>1114</v>
      </c>
      <c r="I3321" s="12" t="s">
        <v>30</v>
      </c>
      <c r="K3321" s="16">
        <v>14.38</v>
      </c>
      <c r="L3321" s="16">
        <v>22.36</v>
      </c>
      <c r="M3321" s="16">
        <v>19.010000000000002</v>
      </c>
    </row>
    <row r="3322" spans="2:13" ht="33.75" outlineLevel="3" x14ac:dyDescent="0.2">
      <c r="B3322" s="4" t="str">
        <f t="shared" si="104"/>
        <v>0011270100</v>
      </c>
      <c r="C3322" s="5" t="str">
        <f>"431735"</f>
        <v>431735</v>
      </c>
      <c r="D3322" s="12" t="s">
        <v>1122</v>
      </c>
      <c r="E3322" s="14" t="s">
        <v>14</v>
      </c>
      <c r="F3322" s="12" t="s">
        <v>3</v>
      </c>
      <c r="G3322" s="15">
        <v>98</v>
      </c>
      <c r="H3322" s="12" t="s">
        <v>1114</v>
      </c>
      <c r="I3322" s="12" t="s">
        <v>355</v>
      </c>
      <c r="K3322" s="16">
        <v>14.38</v>
      </c>
      <c r="L3322" s="16">
        <v>22.36</v>
      </c>
      <c r="M3322" s="16">
        <v>19.010000000000002</v>
      </c>
    </row>
    <row r="3323" spans="2:13" ht="33.75" outlineLevel="3" x14ac:dyDescent="0.2">
      <c r="B3323" s="4" t="str">
        <f t="shared" si="104"/>
        <v>0011270100</v>
      </c>
      <c r="C3323" s="5" t="str">
        <f>"433471"</f>
        <v>433471</v>
      </c>
      <c r="D3323" s="12" t="s">
        <v>1115</v>
      </c>
      <c r="E3323" s="14" t="s">
        <v>14</v>
      </c>
      <c r="F3323" s="12" t="s">
        <v>3</v>
      </c>
      <c r="G3323" s="15">
        <v>100</v>
      </c>
      <c r="H3323" s="12" t="s">
        <v>1114</v>
      </c>
      <c r="I3323" s="12" t="s">
        <v>28</v>
      </c>
      <c r="K3323" s="16">
        <v>14.38</v>
      </c>
      <c r="L3323" s="16">
        <v>22.36</v>
      </c>
      <c r="M3323" s="16">
        <v>19.010000000000002</v>
      </c>
    </row>
    <row r="3324" spans="2:13" ht="22.5" outlineLevel="3" x14ac:dyDescent="0.2">
      <c r="B3324" s="4" t="str">
        <f t="shared" si="104"/>
        <v>0011270100</v>
      </c>
      <c r="C3324" s="5" t="str">
        <f>"528783"</f>
        <v>528783</v>
      </c>
      <c r="D3324" s="12" t="s">
        <v>1115</v>
      </c>
      <c r="E3324" s="14" t="s">
        <v>14</v>
      </c>
      <c r="F3324" s="12" t="s">
        <v>432</v>
      </c>
      <c r="G3324" s="15">
        <v>98</v>
      </c>
      <c r="H3324" s="12" t="s">
        <v>1114</v>
      </c>
      <c r="I3324" s="12" t="s">
        <v>104</v>
      </c>
      <c r="K3324" s="16">
        <v>14.38</v>
      </c>
      <c r="L3324" s="16">
        <v>22.36</v>
      </c>
      <c r="M3324" s="16">
        <v>19.010000000000002</v>
      </c>
    </row>
    <row r="3325" spans="2:13" ht="33.75" outlineLevel="3" x14ac:dyDescent="0.2">
      <c r="B3325" s="4" t="str">
        <f t="shared" si="104"/>
        <v>0011270100</v>
      </c>
      <c r="C3325" s="5" t="str">
        <f>"594706"</f>
        <v>594706</v>
      </c>
      <c r="D3325" s="12" t="s">
        <v>1118</v>
      </c>
      <c r="E3325" s="14" t="s">
        <v>14</v>
      </c>
      <c r="F3325" s="12" t="s">
        <v>3</v>
      </c>
      <c r="G3325" s="15">
        <v>100</v>
      </c>
      <c r="H3325" s="12" t="s">
        <v>1114</v>
      </c>
      <c r="I3325" s="12" t="s">
        <v>492</v>
      </c>
      <c r="K3325" s="16">
        <v>14.38</v>
      </c>
      <c r="L3325" s="16">
        <v>22.36</v>
      </c>
      <c r="M3325" s="16">
        <v>19.010000000000002</v>
      </c>
    </row>
    <row r="3326" spans="2:13" ht="33.75" outlineLevel="3" x14ac:dyDescent="0.2">
      <c r="B3326" s="4" t="str">
        <f t="shared" si="104"/>
        <v>0011270100</v>
      </c>
      <c r="C3326" s="5" t="str">
        <f>"173246"</f>
        <v>173246</v>
      </c>
      <c r="D3326" s="12" t="s">
        <v>1113</v>
      </c>
      <c r="E3326" s="14" t="s">
        <v>14</v>
      </c>
      <c r="F3326" s="12" t="s">
        <v>3</v>
      </c>
      <c r="G3326" s="15">
        <v>98</v>
      </c>
      <c r="H3326" s="12" t="s">
        <v>1114</v>
      </c>
      <c r="I3326" s="12" t="s">
        <v>70</v>
      </c>
      <c r="K3326" s="16">
        <v>14.37</v>
      </c>
      <c r="L3326" s="16">
        <v>22.35</v>
      </c>
      <c r="M3326" s="16">
        <v>19.010000000000002</v>
      </c>
    </row>
    <row r="3327" spans="2:13" ht="22.5" outlineLevel="3" x14ac:dyDescent="0.2">
      <c r="B3327" s="4" t="str">
        <f t="shared" si="104"/>
        <v>0011270100</v>
      </c>
      <c r="C3327" s="5" t="str">
        <f>"407469"</f>
        <v>407469</v>
      </c>
      <c r="D3327" s="12" t="s">
        <v>1113</v>
      </c>
      <c r="E3327" s="14" t="s">
        <v>14</v>
      </c>
      <c r="F3327" s="12" t="s">
        <v>432</v>
      </c>
      <c r="G3327" s="15">
        <v>98</v>
      </c>
      <c r="H3327" s="12" t="s">
        <v>1114</v>
      </c>
      <c r="I3327" s="12" t="s">
        <v>70</v>
      </c>
      <c r="K3327" s="16">
        <v>14.37</v>
      </c>
      <c r="L3327" s="16">
        <v>22.35</v>
      </c>
      <c r="M3327" s="16">
        <v>19.010000000000002</v>
      </c>
    </row>
    <row r="3328" spans="2:13" ht="33.75" outlineLevel="3" x14ac:dyDescent="0.2">
      <c r="B3328" s="4" t="str">
        <f t="shared" si="104"/>
        <v>0011270100</v>
      </c>
      <c r="C3328" s="5" t="str">
        <f>"594593"</f>
        <v>594593</v>
      </c>
      <c r="D3328" s="12" t="s">
        <v>1121</v>
      </c>
      <c r="E3328" s="14" t="s">
        <v>14</v>
      </c>
      <c r="F3328" s="12" t="s">
        <v>3</v>
      </c>
      <c r="G3328" s="15">
        <v>98</v>
      </c>
      <c r="H3328" s="12" t="s">
        <v>1114</v>
      </c>
      <c r="I3328" s="12" t="s">
        <v>675</v>
      </c>
      <c r="K3328" s="16">
        <v>11.11</v>
      </c>
      <c r="L3328" s="16">
        <v>17.510000000000002</v>
      </c>
      <c r="M3328" s="16">
        <v>19.010000000000002</v>
      </c>
    </row>
    <row r="3329" spans="1:13" outlineLevel="1" x14ac:dyDescent="0.2">
      <c r="A3329" s="3"/>
    </row>
    <row r="3330" spans="1:13" outlineLevel="2" x14ac:dyDescent="0.2">
      <c r="A3330" s="3" t="s">
        <v>1571</v>
      </c>
    </row>
    <row r="3331" spans="1:13" ht="33.75" outlineLevel="3" x14ac:dyDescent="0.2">
      <c r="B3331" s="4" t="str">
        <f>"0003910100"</f>
        <v>0003910100</v>
      </c>
      <c r="C3331" s="5" t="str">
        <f>"009117"</f>
        <v>009117</v>
      </c>
      <c r="D3331" s="12" t="s">
        <v>501</v>
      </c>
      <c r="E3331" s="14" t="s">
        <v>2</v>
      </c>
      <c r="F3331" s="12" t="s">
        <v>3</v>
      </c>
      <c r="G3331" s="15">
        <v>100</v>
      </c>
      <c r="H3331" s="12" t="s">
        <v>502</v>
      </c>
      <c r="I3331" s="12" t="s">
        <v>5</v>
      </c>
      <c r="K3331" s="16">
        <v>21.78</v>
      </c>
      <c r="L3331" s="16">
        <v>33.35</v>
      </c>
      <c r="M3331" s="16">
        <v>34.85</v>
      </c>
    </row>
    <row r="3332" spans="1:13" ht="33.75" outlineLevel="3" x14ac:dyDescent="0.2">
      <c r="B3332" s="4" t="str">
        <f>"0003910100"</f>
        <v>0003910100</v>
      </c>
      <c r="C3332" s="5" t="str">
        <f>"466813"</f>
        <v>466813</v>
      </c>
      <c r="D3332" s="12" t="s">
        <v>503</v>
      </c>
      <c r="E3332" s="14" t="s">
        <v>2</v>
      </c>
      <c r="F3332" s="12" t="s">
        <v>3</v>
      </c>
      <c r="G3332" s="15">
        <v>100</v>
      </c>
      <c r="H3332" s="12" t="s">
        <v>502</v>
      </c>
      <c r="I3332" s="12" t="s">
        <v>504</v>
      </c>
      <c r="K3332" s="16">
        <v>21.78</v>
      </c>
      <c r="L3332" s="16">
        <v>33.35</v>
      </c>
      <c r="M3332" s="16">
        <v>34.85</v>
      </c>
    </row>
    <row r="3333" spans="1:13" outlineLevel="2" x14ac:dyDescent="0.2"/>
    <row r="3334" spans="1:13" ht="33.75" outlineLevel="3" x14ac:dyDescent="0.2">
      <c r="B3334" s="4" t="str">
        <f>"0003920060"</f>
        <v>0003920060</v>
      </c>
      <c r="C3334" s="5" t="str">
        <f>"009099"</f>
        <v>009099</v>
      </c>
      <c r="D3334" s="12" t="s">
        <v>501</v>
      </c>
      <c r="E3334" s="14" t="s">
        <v>12</v>
      </c>
      <c r="F3334" s="12" t="s">
        <v>3</v>
      </c>
      <c r="G3334" s="15">
        <v>60</v>
      </c>
      <c r="H3334" s="12" t="s">
        <v>502</v>
      </c>
      <c r="I3334" s="12" t="s">
        <v>5</v>
      </c>
      <c r="K3334" s="16">
        <v>21.86</v>
      </c>
      <c r="L3334" s="16">
        <v>33.47</v>
      </c>
      <c r="M3334" s="16">
        <v>34.97</v>
      </c>
    </row>
    <row r="3335" spans="1:13" ht="33.75" outlineLevel="3" x14ac:dyDescent="0.2">
      <c r="B3335" s="4" t="str">
        <f>"0003920060"</f>
        <v>0003920060</v>
      </c>
      <c r="C3335" s="5" t="str">
        <f>"587857"</f>
        <v>587857</v>
      </c>
      <c r="D3335" s="12" t="s">
        <v>503</v>
      </c>
      <c r="E3335" s="14" t="s">
        <v>12</v>
      </c>
      <c r="F3335" s="12" t="s">
        <v>3</v>
      </c>
      <c r="G3335" s="15">
        <v>60</v>
      </c>
      <c r="H3335" s="12" t="s">
        <v>502</v>
      </c>
      <c r="I3335" s="12" t="s">
        <v>504</v>
      </c>
      <c r="K3335" s="16">
        <v>21.86</v>
      </c>
      <c r="L3335" s="16">
        <v>33.47</v>
      </c>
      <c r="M3335" s="16">
        <v>34.97</v>
      </c>
    </row>
    <row r="3336" spans="1:13" outlineLevel="1" x14ac:dyDescent="0.2">
      <c r="A3336" s="3"/>
    </row>
    <row r="3337" spans="1:13" outlineLevel="2" x14ac:dyDescent="0.2">
      <c r="A3337" s="3" t="s">
        <v>1572</v>
      </c>
    </row>
    <row r="3338" spans="1:13" ht="22.5" outlineLevel="3" x14ac:dyDescent="0.2">
      <c r="B3338" s="4" t="str">
        <f t="shared" ref="B3338:B3343" si="105">"0005020030"</f>
        <v>0005020030</v>
      </c>
      <c r="C3338" s="5" t="str">
        <f>"010438"</f>
        <v>010438</v>
      </c>
      <c r="D3338" s="12" t="s">
        <v>627</v>
      </c>
      <c r="E3338" s="14" t="s">
        <v>31</v>
      </c>
      <c r="F3338" s="12" t="s">
        <v>432</v>
      </c>
      <c r="G3338" s="15">
        <v>30</v>
      </c>
      <c r="H3338" s="12" t="s">
        <v>628</v>
      </c>
      <c r="I3338" s="12" t="s">
        <v>629</v>
      </c>
      <c r="K3338" s="16">
        <v>7.03</v>
      </c>
      <c r="L3338" s="16">
        <v>11.21</v>
      </c>
      <c r="M3338" s="16">
        <v>7.56</v>
      </c>
    </row>
    <row r="3339" spans="1:13" ht="33.75" outlineLevel="3" x14ac:dyDescent="0.2">
      <c r="B3339" s="4" t="str">
        <f t="shared" si="105"/>
        <v>0005020030</v>
      </c>
      <c r="C3339" s="5" t="str">
        <f>"013141"</f>
        <v>013141</v>
      </c>
      <c r="D3339" s="12" t="s">
        <v>630</v>
      </c>
      <c r="E3339" s="14" t="s">
        <v>31</v>
      </c>
      <c r="F3339" s="12" t="s">
        <v>3</v>
      </c>
      <c r="G3339" s="15">
        <v>30</v>
      </c>
      <c r="H3339" s="12" t="s">
        <v>628</v>
      </c>
      <c r="I3339" s="12" t="s">
        <v>5</v>
      </c>
      <c r="K3339" s="16">
        <v>4.74</v>
      </c>
      <c r="L3339" s="16">
        <v>7.56</v>
      </c>
      <c r="M3339" s="16">
        <v>7.56</v>
      </c>
    </row>
    <row r="3340" spans="1:13" ht="33.75" outlineLevel="3" x14ac:dyDescent="0.2">
      <c r="B3340" s="4" t="str">
        <f t="shared" si="105"/>
        <v>0005020030</v>
      </c>
      <c r="C3340" s="5" t="str">
        <f>"023886"</f>
        <v>023886</v>
      </c>
      <c r="D3340" s="12" t="s">
        <v>632</v>
      </c>
      <c r="E3340" s="14" t="s">
        <v>31</v>
      </c>
      <c r="F3340" s="12" t="s">
        <v>3</v>
      </c>
      <c r="G3340" s="15">
        <v>30</v>
      </c>
      <c r="H3340" s="12" t="s">
        <v>628</v>
      </c>
      <c r="I3340" s="12" t="s">
        <v>30</v>
      </c>
      <c r="K3340" s="16">
        <v>4.74</v>
      </c>
      <c r="L3340" s="16">
        <v>7.56</v>
      </c>
      <c r="M3340" s="16">
        <v>7.56</v>
      </c>
    </row>
    <row r="3341" spans="1:13" ht="33.75" outlineLevel="3" x14ac:dyDescent="0.2">
      <c r="B3341" s="4" t="str">
        <f t="shared" si="105"/>
        <v>0005020030</v>
      </c>
      <c r="C3341" s="5" t="str">
        <f>"024346"</f>
        <v>024346</v>
      </c>
      <c r="D3341" s="12" t="s">
        <v>633</v>
      </c>
      <c r="E3341" s="14" t="s">
        <v>31</v>
      </c>
      <c r="F3341" s="12" t="s">
        <v>3</v>
      </c>
      <c r="G3341" s="15">
        <v>28</v>
      </c>
      <c r="H3341" s="12" t="s">
        <v>628</v>
      </c>
      <c r="I3341" s="12" t="s">
        <v>28</v>
      </c>
      <c r="K3341" s="16">
        <v>4.74</v>
      </c>
      <c r="L3341" s="16">
        <v>7.56</v>
      </c>
      <c r="M3341" s="16">
        <v>7.56</v>
      </c>
    </row>
    <row r="3342" spans="1:13" ht="22.5" outlineLevel="3" x14ac:dyDescent="0.2">
      <c r="B3342" s="4" t="str">
        <f t="shared" si="105"/>
        <v>0005020030</v>
      </c>
      <c r="C3342" s="5" t="str">
        <f>"024852"</f>
        <v>024852</v>
      </c>
      <c r="D3342" s="12" t="s">
        <v>633</v>
      </c>
      <c r="E3342" s="14" t="s">
        <v>31</v>
      </c>
      <c r="F3342" s="12" t="s">
        <v>432</v>
      </c>
      <c r="G3342" s="15">
        <v>30</v>
      </c>
      <c r="H3342" s="12" t="s">
        <v>628</v>
      </c>
      <c r="I3342" s="12" t="s">
        <v>58</v>
      </c>
      <c r="K3342" s="16">
        <v>4.74</v>
      </c>
      <c r="L3342" s="16">
        <v>7.56</v>
      </c>
      <c r="M3342" s="16">
        <v>7.56</v>
      </c>
    </row>
    <row r="3343" spans="1:13" ht="33.75" outlineLevel="3" x14ac:dyDescent="0.2">
      <c r="B3343" s="4" t="str">
        <f t="shared" si="105"/>
        <v>0005020030</v>
      </c>
      <c r="C3343" s="5" t="str">
        <f>"018313"</f>
        <v>018313</v>
      </c>
      <c r="D3343" s="12" t="s">
        <v>631</v>
      </c>
      <c r="E3343" s="14" t="s">
        <v>31</v>
      </c>
      <c r="F3343" s="12" t="s">
        <v>3</v>
      </c>
      <c r="G3343" s="15">
        <v>30</v>
      </c>
      <c r="H3343" s="12" t="s">
        <v>628</v>
      </c>
      <c r="I3343" s="12" t="s">
        <v>68</v>
      </c>
      <c r="K3343" s="16">
        <v>3.8</v>
      </c>
      <c r="L3343" s="16">
        <v>6.06</v>
      </c>
      <c r="M3343" s="16">
        <v>7.56</v>
      </c>
    </row>
    <row r="3344" spans="1:13" outlineLevel="2" x14ac:dyDescent="0.2"/>
    <row r="3345" spans="2:13" ht="33.75" outlineLevel="3" x14ac:dyDescent="0.2">
      <c r="B3345" s="4" t="str">
        <f>"0005020100"</f>
        <v>0005020100</v>
      </c>
      <c r="C3345" s="5" t="str">
        <f>"013152"</f>
        <v>013152</v>
      </c>
      <c r="D3345" s="12" t="s">
        <v>630</v>
      </c>
      <c r="E3345" s="14" t="s">
        <v>31</v>
      </c>
      <c r="F3345" s="12" t="s">
        <v>3</v>
      </c>
      <c r="G3345" s="15">
        <v>100</v>
      </c>
      <c r="H3345" s="12" t="s">
        <v>628</v>
      </c>
      <c r="I3345" s="12" t="s">
        <v>5</v>
      </c>
      <c r="K3345" s="16">
        <v>19.79</v>
      </c>
      <c r="L3345" s="16">
        <v>30.4</v>
      </c>
      <c r="M3345" s="16">
        <v>30.4</v>
      </c>
    </row>
    <row r="3346" spans="2:13" ht="33.75" outlineLevel="3" x14ac:dyDescent="0.2">
      <c r="B3346" s="4" t="str">
        <f>"0005020100"</f>
        <v>0005020100</v>
      </c>
      <c r="C3346" s="5" t="str">
        <f>"023897"</f>
        <v>023897</v>
      </c>
      <c r="D3346" s="12" t="s">
        <v>632</v>
      </c>
      <c r="E3346" s="14" t="s">
        <v>31</v>
      </c>
      <c r="F3346" s="12" t="s">
        <v>3</v>
      </c>
      <c r="G3346" s="15" t="s">
        <v>123</v>
      </c>
      <c r="H3346" s="12" t="s">
        <v>628</v>
      </c>
      <c r="I3346" s="12" t="s">
        <v>30</v>
      </c>
      <c r="K3346" s="16">
        <v>19.79</v>
      </c>
      <c r="L3346" s="16">
        <v>30.4</v>
      </c>
      <c r="M3346" s="16">
        <v>30.4</v>
      </c>
    </row>
    <row r="3347" spans="2:13" ht="33.75" outlineLevel="3" x14ac:dyDescent="0.2">
      <c r="B3347" s="4" t="str">
        <f>"0005020100"</f>
        <v>0005020100</v>
      </c>
      <c r="C3347" s="5" t="str">
        <f>"024333"</f>
        <v>024333</v>
      </c>
      <c r="D3347" s="12" t="s">
        <v>633</v>
      </c>
      <c r="E3347" s="14" t="s">
        <v>31</v>
      </c>
      <c r="F3347" s="12" t="s">
        <v>3</v>
      </c>
      <c r="G3347" s="15">
        <v>98</v>
      </c>
      <c r="H3347" s="12" t="s">
        <v>628</v>
      </c>
      <c r="I3347" s="12" t="s">
        <v>28</v>
      </c>
      <c r="K3347" s="16">
        <v>19.79</v>
      </c>
      <c r="L3347" s="16">
        <v>30.4</v>
      </c>
      <c r="M3347" s="16">
        <v>30.4</v>
      </c>
    </row>
    <row r="3348" spans="2:13" ht="33.75" outlineLevel="3" x14ac:dyDescent="0.2">
      <c r="B3348" s="4" t="str">
        <f>"0005020100"</f>
        <v>0005020100</v>
      </c>
      <c r="C3348" s="5" t="str">
        <f>"018702"</f>
        <v>018702</v>
      </c>
      <c r="D3348" s="12" t="s">
        <v>631</v>
      </c>
      <c r="E3348" s="14" t="s">
        <v>31</v>
      </c>
      <c r="F3348" s="12" t="s">
        <v>3</v>
      </c>
      <c r="G3348" s="15">
        <v>100</v>
      </c>
      <c r="H3348" s="12" t="s">
        <v>628</v>
      </c>
      <c r="I3348" s="12" t="s">
        <v>68</v>
      </c>
      <c r="K3348" s="16">
        <v>18.78</v>
      </c>
      <c r="L3348" s="16">
        <v>28.9</v>
      </c>
      <c r="M3348" s="16">
        <v>30.4</v>
      </c>
    </row>
    <row r="3349" spans="2:13" outlineLevel="2" x14ac:dyDescent="0.2"/>
    <row r="3350" spans="2:13" ht="22.5" outlineLevel="3" x14ac:dyDescent="0.2">
      <c r="B3350" s="4" t="str">
        <f t="shared" ref="B3350:B3355" si="106">"0005440030"</f>
        <v>0005440030</v>
      </c>
      <c r="C3350" s="5" t="str">
        <f>"010427"</f>
        <v>010427</v>
      </c>
      <c r="D3350" s="12" t="s">
        <v>627</v>
      </c>
      <c r="E3350" s="14" t="s">
        <v>25</v>
      </c>
      <c r="F3350" s="12" t="s">
        <v>432</v>
      </c>
      <c r="G3350" s="15">
        <v>30</v>
      </c>
      <c r="H3350" s="12" t="s">
        <v>628</v>
      </c>
      <c r="I3350" s="12" t="s">
        <v>629</v>
      </c>
      <c r="K3350" s="16">
        <v>6.36</v>
      </c>
      <c r="L3350" s="16">
        <v>10.14</v>
      </c>
      <c r="M3350" s="16">
        <v>6.82</v>
      </c>
    </row>
    <row r="3351" spans="2:13" ht="33.75" outlineLevel="3" x14ac:dyDescent="0.2">
      <c r="B3351" s="4" t="str">
        <f t="shared" si="106"/>
        <v>0005440030</v>
      </c>
      <c r="C3351" s="5" t="str">
        <f>"023901"</f>
        <v>023901</v>
      </c>
      <c r="D3351" s="12" t="s">
        <v>632</v>
      </c>
      <c r="E3351" s="14" t="s">
        <v>25</v>
      </c>
      <c r="F3351" s="12" t="s">
        <v>3</v>
      </c>
      <c r="G3351" s="15">
        <v>30</v>
      </c>
      <c r="H3351" s="12" t="s">
        <v>628</v>
      </c>
      <c r="I3351" s="12" t="s">
        <v>30</v>
      </c>
      <c r="K3351" s="16">
        <v>4.2699999999999996</v>
      </c>
      <c r="L3351" s="16">
        <v>6.81</v>
      </c>
      <c r="M3351" s="16">
        <v>6.82</v>
      </c>
    </row>
    <row r="3352" spans="2:13" ht="33.75" outlineLevel="3" x14ac:dyDescent="0.2">
      <c r="B3352" s="4" t="str">
        <f t="shared" si="106"/>
        <v>0005440030</v>
      </c>
      <c r="C3352" s="5" t="str">
        <f>"024310"</f>
        <v>024310</v>
      </c>
      <c r="D3352" s="12" t="s">
        <v>633</v>
      </c>
      <c r="E3352" s="14" t="s">
        <v>25</v>
      </c>
      <c r="F3352" s="12" t="s">
        <v>3</v>
      </c>
      <c r="G3352" s="15">
        <v>28</v>
      </c>
      <c r="H3352" s="12" t="s">
        <v>628</v>
      </c>
      <c r="I3352" s="12" t="s">
        <v>28</v>
      </c>
      <c r="K3352" s="16">
        <v>4.2699999999999996</v>
      </c>
      <c r="L3352" s="16">
        <v>6.81</v>
      </c>
      <c r="M3352" s="16">
        <v>6.82</v>
      </c>
    </row>
    <row r="3353" spans="2:13" ht="22.5" outlineLevel="3" x14ac:dyDescent="0.2">
      <c r="B3353" s="4" t="str">
        <f t="shared" si="106"/>
        <v>0005440030</v>
      </c>
      <c r="C3353" s="5" t="str">
        <f>"024838"</f>
        <v>024838</v>
      </c>
      <c r="D3353" s="12" t="s">
        <v>633</v>
      </c>
      <c r="E3353" s="14" t="s">
        <v>25</v>
      </c>
      <c r="F3353" s="12" t="s">
        <v>432</v>
      </c>
      <c r="G3353" s="15">
        <v>30</v>
      </c>
      <c r="H3353" s="12" t="s">
        <v>628</v>
      </c>
      <c r="I3353" s="12" t="s">
        <v>58</v>
      </c>
      <c r="K3353" s="16">
        <v>4.2699999999999996</v>
      </c>
      <c r="L3353" s="16">
        <v>6.81</v>
      </c>
      <c r="M3353" s="16">
        <v>6.82</v>
      </c>
    </row>
    <row r="3354" spans="2:13" ht="33.75" outlineLevel="3" x14ac:dyDescent="0.2">
      <c r="B3354" s="4" t="str">
        <f t="shared" si="106"/>
        <v>0005440030</v>
      </c>
      <c r="C3354" s="5" t="str">
        <f>"048580"</f>
        <v>048580</v>
      </c>
      <c r="D3354" s="12" t="s">
        <v>630</v>
      </c>
      <c r="E3354" s="14" t="s">
        <v>25</v>
      </c>
      <c r="F3354" s="12" t="s">
        <v>3</v>
      </c>
      <c r="G3354" s="15">
        <v>30</v>
      </c>
      <c r="H3354" s="12" t="s">
        <v>628</v>
      </c>
      <c r="I3354" s="12" t="s">
        <v>5</v>
      </c>
      <c r="K3354" s="16">
        <v>4.2699999999999996</v>
      </c>
      <c r="L3354" s="16">
        <v>6.81</v>
      </c>
      <c r="M3354" s="16">
        <v>6.82</v>
      </c>
    </row>
    <row r="3355" spans="2:13" ht="33.75" outlineLevel="3" x14ac:dyDescent="0.2">
      <c r="B3355" s="4" t="str">
        <f t="shared" si="106"/>
        <v>0005440030</v>
      </c>
      <c r="C3355" s="5" t="str">
        <f>"018904"</f>
        <v>018904</v>
      </c>
      <c r="D3355" s="12" t="s">
        <v>631</v>
      </c>
      <c r="E3355" s="14" t="s">
        <v>25</v>
      </c>
      <c r="F3355" s="12" t="s">
        <v>3</v>
      </c>
      <c r="G3355" s="15">
        <v>30</v>
      </c>
      <c r="H3355" s="12" t="s">
        <v>628</v>
      </c>
      <c r="I3355" s="12" t="s">
        <v>68</v>
      </c>
      <c r="K3355" s="16">
        <v>3.34</v>
      </c>
      <c r="L3355" s="16">
        <v>5.32</v>
      </c>
      <c r="M3355" s="16">
        <v>6.82</v>
      </c>
    </row>
    <row r="3356" spans="2:13" ht="33.75" outlineLevel="3" x14ac:dyDescent="0.2">
      <c r="B3356" s="4" t="str">
        <f>"0005440100"</f>
        <v>0005440100</v>
      </c>
      <c r="C3356" s="5" t="str">
        <f>"027058"</f>
        <v>027058</v>
      </c>
      <c r="D3356" s="12" t="s">
        <v>632</v>
      </c>
      <c r="E3356" s="14" t="s">
        <v>25</v>
      </c>
      <c r="F3356" s="12" t="s">
        <v>3</v>
      </c>
      <c r="G3356" s="15" t="s">
        <v>123</v>
      </c>
      <c r="H3356" s="12" t="s">
        <v>628</v>
      </c>
      <c r="I3356" s="12" t="s">
        <v>30</v>
      </c>
      <c r="K3356" s="16">
        <v>19.11</v>
      </c>
      <c r="L3356" s="16">
        <v>29.39</v>
      </c>
      <c r="M3356" s="16">
        <v>30.33</v>
      </c>
    </row>
    <row r="3357" spans="2:13" ht="33.75" outlineLevel="3" x14ac:dyDescent="0.2">
      <c r="B3357" s="4" t="str">
        <f>"0005440100"</f>
        <v>0005440100</v>
      </c>
      <c r="C3357" s="5" t="str">
        <f>"433844"</f>
        <v>433844</v>
      </c>
      <c r="D3357" s="12" t="s">
        <v>630</v>
      </c>
      <c r="E3357" s="14" t="s">
        <v>25</v>
      </c>
      <c r="F3357" s="12" t="s">
        <v>3</v>
      </c>
      <c r="G3357" s="15">
        <v>100</v>
      </c>
      <c r="H3357" s="12" t="s">
        <v>628</v>
      </c>
      <c r="I3357" s="12" t="s">
        <v>5</v>
      </c>
      <c r="K3357" s="16">
        <v>19.11</v>
      </c>
      <c r="L3357" s="16">
        <v>29.39</v>
      </c>
      <c r="M3357" s="16">
        <v>30.33</v>
      </c>
    </row>
    <row r="3358" spans="2:13" ht="33.75" outlineLevel="3" x14ac:dyDescent="0.2">
      <c r="B3358" s="4" t="str">
        <f>"0005440100"</f>
        <v>0005440100</v>
      </c>
      <c r="C3358" s="5" t="str">
        <f>"579147"</f>
        <v>579147</v>
      </c>
      <c r="D3358" s="12" t="s">
        <v>633</v>
      </c>
      <c r="E3358" s="14" t="s">
        <v>25</v>
      </c>
      <c r="F3358" s="12" t="s">
        <v>3</v>
      </c>
      <c r="G3358" s="15">
        <v>100</v>
      </c>
      <c r="H3358" s="12" t="s">
        <v>628</v>
      </c>
      <c r="I3358" s="12" t="s">
        <v>28</v>
      </c>
      <c r="K3358" s="16">
        <v>19.11</v>
      </c>
      <c r="L3358" s="16">
        <v>29.39</v>
      </c>
      <c r="M3358" s="16">
        <v>30.33</v>
      </c>
    </row>
    <row r="3359" spans="2:13" ht="33.75" outlineLevel="3" x14ac:dyDescent="0.2">
      <c r="B3359" s="4" t="str">
        <f>"0005440100"</f>
        <v>0005440100</v>
      </c>
      <c r="C3359" s="5" t="str">
        <f>"024321"</f>
        <v>024321</v>
      </c>
      <c r="D3359" s="12" t="s">
        <v>633</v>
      </c>
      <c r="E3359" s="14" t="s">
        <v>25</v>
      </c>
      <c r="F3359" s="12" t="s">
        <v>3</v>
      </c>
      <c r="G3359" s="15">
        <v>98</v>
      </c>
      <c r="H3359" s="12" t="s">
        <v>628</v>
      </c>
      <c r="I3359" s="12" t="s">
        <v>28</v>
      </c>
      <c r="K3359" s="16">
        <v>18.73</v>
      </c>
      <c r="L3359" s="16">
        <v>28.83</v>
      </c>
      <c r="M3359" s="16">
        <v>30.33</v>
      </c>
    </row>
    <row r="3360" spans="2:13" outlineLevel="2" x14ac:dyDescent="0.2"/>
    <row r="3361" spans="1:13" ht="22.5" outlineLevel="3" x14ac:dyDescent="0.2">
      <c r="B3361" s="4" t="str">
        <f>"0005450030"</f>
        <v>0005450030</v>
      </c>
      <c r="C3361" s="5" t="str">
        <f>"010449"</f>
        <v>010449</v>
      </c>
      <c r="D3361" s="12" t="s">
        <v>627</v>
      </c>
      <c r="E3361" s="14" t="s">
        <v>666</v>
      </c>
      <c r="F3361" s="12" t="s">
        <v>432</v>
      </c>
      <c r="G3361" s="15">
        <v>30</v>
      </c>
      <c r="H3361" s="12" t="s">
        <v>628</v>
      </c>
      <c r="I3361" s="12" t="s">
        <v>629</v>
      </c>
      <c r="K3361" s="16">
        <v>15.45</v>
      </c>
      <c r="L3361" s="16">
        <v>23.96</v>
      </c>
      <c r="M3361" s="16">
        <v>23.93</v>
      </c>
    </row>
    <row r="3362" spans="1:13" ht="33.75" outlineLevel="3" x14ac:dyDescent="0.2">
      <c r="B3362" s="4" t="str">
        <f>"0005450030"</f>
        <v>0005450030</v>
      </c>
      <c r="C3362" s="5" t="str">
        <f>"023859"</f>
        <v>023859</v>
      </c>
      <c r="D3362" s="12" t="s">
        <v>632</v>
      </c>
      <c r="E3362" s="14" t="s">
        <v>666</v>
      </c>
      <c r="F3362" s="12" t="s">
        <v>3</v>
      </c>
      <c r="G3362" s="15">
        <v>30</v>
      </c>
      <c r="H3362" s="12" t="s">
        <v>628</v>
      </c>
      <c r="I3362" s="12" t="s">
        <v>30</v>
      </c>
      <c r="K3362" s="16">
        <v>15.43</v>
      </c>
      <c r="L3362" s="16">
        <v>23.93</v>
      </c>
      <c r="M3362" s="16">
        <v>23.93</v>
      </c>
    </row>
    <row r="3363" spans="1:13" ht="22.5" outlineLevel="3" x14ac:dyDescent="0.2">
      <c r="B3363" s="4" t="str">
        <f>"0005450030"</f>
        <v>0005450030</v>
      </c>
      <c r="C3363" s="5" t="str">
        <f>"024849"</f>
        <v>024849</v>
      </c>
      <c r="D3363" s="12" t="s">
        <v>633</v>
      </c>
      <c r="E3363" s="14" t="s">
        <v>666</v>
      </c>
      <c r="F3363" s="12" t="s">
        <v>432</v>
      </c>
      <c r="G3363" s="15">
        <v>30</v>
      </c>
      <c r="H3363" s="12" t="s">
        <v>628</v>
      </c>
      <c r="I3363" s="12" t="s">
        <v>58</v>
      </c>
      <c r="K3363" s="16">
        <v>15.43</v>
      </c>
      <c r="L3363" s="16">
        <v>23.93</v>
      </c>
      <c r="M3363" s="16">
        <v>23.93</v>
      </c>
    </row>
    <row r="3364" spans="1:13" ht="33.75" outlineLevel="3" x14ac:dyDescent="0.2">
      <c r="B3364" s="4" t="str">
        <f>"0005450030"</f>
        <v>0005450030</v>
      </c>
      <c r="C3364" s="5" t="str">
        <f>"048589"</f>
        <v>048589</v>
      </c>
      <c r="D3364" s="12" t="s">
        <v>630</v>
      </c>
      <c r="E3364" s="14" t="s">
        <v>666</v>
      </c>
      <c r="F3364" s="12" t="s">
        <v>3</v>
      </c>
      <c r="G3364" s="15">
        <v>30</v>
      </c>
      <c r="H3364" s="12" t="s">
        <v>628</v>
      </c>
      <c r="I3364" s="12" t="s">
        <v>5</v>
      </c>
      <c r="K3364" s="16">
        <v>15.43</v>
      </c>
      <c r="L3364" s="16">
        <v>23.93</v>
      </c>
      <c r="M3364" s="16">
        <v>23.93</v>
      </c>
    </row>
    <row r="3365" spans="1:13" ht="33.75" outlineLevel="3" x14ac:dyDescent="0.2">
      <c r="B3365" s="4" t="str">
        <f>"0005450030"</f>
        <v>0005450030</v>
      </c>
      <c r="C3365" s="5" t="str">
        <f>"024344"</f>
        <v>024344</v>
      </c>
      <c r="D3365" s="12" t="s">
        <v>633</v>
      </c>
      <c r="E3365" s="14" t="s">
        <v>666</v>
      </c>
      <c r="F3365" s="12" t="s">
        <v>3</v>
      </c>
      <c r="G3365" s="15">
        <v>28</v>
      </c>
      <c r="H3365" s="12" t="s">
        <v>628</v>
      </c>
      <c r="I3365" s="12" t="s">
        <v>28</v>
      </c>
      <c r="K3365" s="16">
        <v>14.42</v>
      </c>
      <c r="L3365" s="16">
        <v>22.43</v>
      </c>
      <c r="M3365" s="16">
        <v>23.93</v>
      </c>
    </row>
    <row r="3366" spans="1:13" outlineLevel="2" x14ac:dyDescent="0.2"/>
    <row r="3367" spans="1:13" ht="33.75" outlineLevel="3" x14ac:dyDescent="0.2">
      <c r="B3367" s="4" t="str">
        <f>"0005450100"</f>
        <v>0005450100</v>
      </c>
      <c r="C3367" s="5" t="str">
        <f>"121942"</f>
        <v>121942</v>
      </c>
      <c r="D3367" s="12" t="s">
        <v>630</v>
      </c>
      <c r="E3367" s="14" t="s">
        <v>666</v>
      </c>
      <c r="F3367" s="12" t="s">
        <v>3</v>
      </c>
      <c r="G3367" s="15">
        <v>100</v>
      </c>
      <c r="H3367" s="12" t="s">
        <v>628</v>
      </c>
      <c r="I3367" s="12" t="s">
        <v>5</v>
      </c>
      <c r="J3367" s="2" t="s">
        <v>1400</v>
      </c>
      <c r="K3367" s="16">
        <v>46.4</v>
      </c>
      <c r="L3367" s="16">
        <v>69.89</v>
      </c>
      <c r="M3367" s="16">
        <v>70.53</v>
      </c>
    </row>
    <row r="3368" spans="1:13" ht="33.75" outlineLevel="3" x14ac:dyDescent="0.2">
      <c r="B3368" s="4" t="str">
        <f>"0005450100"</f>
        <v>0005450100</v>
      </c>
      <c r="C3368" s="5" t="str">
        <f>"023847"</f>
        <v>023847</v>
      </c>
      <c r="D3368" s="12" t="s">
        <v>632</v>
      </c>
      <c r="E3368" s="14" t="s">
        <v>666</v>
      </c>
      <c r="F3368" s="12" t="s">
        <v>3</v>
      </c>
      <c r="G3368" s="15" t="s">
        <v>123</v>
      </c>
      <c r="H3368" s="12" t="s">
        <v>628</v>
      </c>
      <c r="I3368" s="12" t="s">
        <v>30</v>
      </c>
      <c r="K3368" s="16">
        <v>46.4</v>
      </c>
      <c r="L3368" s="16">
        <v>69.89</v>
      </c>
      <c r="M3368" s="16">
        <v>70.53</v>
      </c>
    </row>
    <row r="3369" spans="1:13" ht="33.75" outlineLevel="3" x14ac:dyDescent="0.2">
      <c r="B3369" s="4" t="str">
        <f>"0005450100"</f>
        <v>0005450100</v>
      </c>
      <c r="C3369" s="5" t="str">
        <f>"024248"</f>
        <v>024248</v>
      </c>
      <c r="D3369" s="12" t="s">
        <v>633</v>
      </c>
      <c r="E3369" s="14" t="s">
        <v>666</v>
      </c>
      <c r="F3369" s="12" t="s">
        <v>3</v>
      </c>
      <c r="G3369" s="15">
        <v>98</v>
      </c>
      <c r="H3369" s="12" t="s">
        <v>628</v>
      </c>
      <c r="I3369" s="12" t="s">
        <v>28</v>
      </c>
      <c r="K3369" s="16">
        <v>45.47</v>
      </c>
      <c r="L3369" s="16">
        <v>68.53</v>
      </c>
      <c r="M3369" s="16">
        <v>70.53</v>
      </c>
    </row>
    <row r="3370" spans="1:13" outlineLevel="1" x14ac:dyDescent="0.2">
      <c r="A3370" s="3"/>
    </row>
    <row r="3371" spans="1:13" outlineLevel="2" x14ac:dyDescent="0.2">
      <c r="A3371" s="3" t="s">
        <v>1573</v>
      </c>
    </row>
    <row r="3372" spans="1:13" ht="22.5" outlineLevel="3" x14ac:dyDescent="0.2">
      <c r="B3372" s="4" t="str">
        <f>"0010200007"</f>
        <v>0010200007</v>
      </c>
      <c r="C3372" s="5" t="str">
        <f>"020277"</f>
        <v>020277</v>
      </c>
      <c r="D3372" s="12" t="s">
        <v>1040</v>
      </c>
      <c r="E3372" s="14" t="s">
        <v>1041</v>
      </c>
      <c r="F3372" s="12" t="s">
        <v>642</v>
      </c>
      <c r="G3372" s="15">
        <v>7</v>
      </c>
      <c r="H3372" s="12" t="s">
        <v>1042</v>
      </c>
      <c r="I3372" s="12" t="s">
        <v>240</v>
      </c>
      <c r="K3372" s="16">
        <v>1.95</v>
      </c>
      <c r="L3372" s="16">
        <v>3.11</v>
      </c>
      <c r="M3372" s="16">
        <v>4.6100000000000003</v>
      </c>
    </row>
    <row r="3373" spans="1:13" ht="22.5" outlineLevel="3" x14ac:dyDescent="0.2">
      <c r="B3373" s="4" t="str">
        <f>"0010200007"</f>
        <v>0010200007</v>
      </c>
      <c r="C3373" s="5" t="str">
        <f>"164661"</f>
        <v>164661</v>
      </c>
      <c r="D3373" s="12" t="s">
        <v>1043</v>
      </c>
      <c r="E3373" s="14" t="s">
        <v>1041</v>
      </c>
      <c r="F3373" s="12" t="s">
        <v>642</v>
      </c>
      <c r="G3373" s="15">
        <v>7</v>
      </c>
      <c r="H3373" s="12" t="s">
        <v>1042</v>
      </c>
      <c r="I3373" s="12" t="s">
        <v>30</v>
      </c>
      <c r="K3373" s="16">
        <v>1.95</v>
      </c>
      <c r="L3373" s="16">
        <v>3.11</v>
      </c>
      <c r="M3373" s="16">
        <v>4.6100000000000003</v>
      </c>
    </row>
    <row r="3374" spans="1:13" ht="22.5" outlineLevel="3" x14ac:dyDescent="0.2">
      <c r="B3374" s="4" t="str">
        <f>"0010200007"</f>
        <v>0010200007</v>
      </c>
      <c r="C3374" s="5" t="str">
        <f>"167319"</f>
        <v>167319</v>
      </c>
      <c r="D3374" s="12" t="s">
        <v>1044</v>
      </c>
      <c r="E3374" s="14" t="s">
        <v>1041</v>
      </c>
      <c r="F3374" s="12" t="s">
        <v>642</v>
      </c>
      <c r="G3374" s="15">
        <v>7</v>
      </c>
      <c r="H3374" s="12" t="s">
        <v>1042</v>
      </c>
      <c r="I3374" s="12" t="s">
        <v>68</v>
      </c>
      <c r="K3374" s="16">
        <v>1.95</v>
      </c>
      <c r="L3374" s="16">
        <v>3.11</v>
      </c>
      <c r="M3374" s="16">
        <v>4.6100000000000003</v>
      </c>
    </row>
    <row r="3375" spans="1:13" outlineLevel="2" x14ac:dyDescent="0.2"/>
    <row r="3376" spans="1:13" ht="22.5" outlineLevel="3" x14ac:dyDescent="0.2">
      <c r="B3376" s="4" t="str">
        <f>"0010200030"</f>
        <v>0010200030</v>
      </c>
      <c r="C3376" s="5" t="str">
        <f>"029426"</f>
        <v>029426</v>
      </c>
      <c r="D3376" s="12" t="s">
        <v>1045</v>
      </c>
      <c r="E3376" s="14" t="s">
        <v>1041</v>
      </c>
      <c r="F3376" s="12" t="s">
        <v>642</v>
      </c>
      <c r="G3376" s="15">
        <v>28</v>
      </c>
      <c r="H3376" s="12" t="s">
        <v>1042</v>
      </c>
      <c r="I3376" s="12" t="s">
        <v>104</v>
      </c>
      <c r="K3376" s="16">
        <v>7.8</v>
      </c>
      <c r="L3376" s="16">
        <v>12.44</v>
      </c>
      <c r="M3376" s="16">
        <v>13.94</v>
      </c>
    </row>
    <row r="3377" spans="2:13" ht="22.5" outlineLevel="3" x14ac:dyDescent="0.2">
      <c r="B3377" s="4" t="str">
        <f>"0010200030"</f>
        <v>0010200030</v>
      </c>
      <c r="C3377" s="5" t="str">
        <f>"091015"</f>
        <v>091015</v>
      </c>
      <c r="D3377" s="12" t="s">
        <v>1043</v>
      </c>
      <c r="E3377" s="14" t="s">
        <v>1041</v>
      </c>
      <c r="F3377" s="12" t="s">
        <v>642</v>
      </c>
      <c r="G3377" s="15">
        <v>28</v>
      </c>
      <c r="H3377" s="12" t="s">
        <v>1042</v>
      </c>
      <c r="I3377" s="12" t="s">
        <v>30</v>
      </c>
      <c r="K3377" s="16">
        <v>7.8</v>
      </c>
      <c r="L3377" s="16">
        <v>12.44</v>
      </c>
      <c r="M3377" s="16">
        <v>13.94</v>
      </c>
    </row>
    <row r="3378" spans="2:13" outlineLevel="2" x14ac:dyDescent="0.2"/>
    <row r="3379" spans="2:13" ht="22.5" outlineLevel="3" x14ac:dyDescent="0.2">
      <c r="B3379" s="4" t="str">
        <f>"0010210014"</f>
        <v>0010210014</v>
      </c>
      <c r="C3379" s="5" t="str">
        <f>"164672"</f>
        <v>164672</v>
      </c>
      <c r="D3379" s="12" t="s">
        <v>1043</v>
      </c>
      <c r="E3379" s="14" t="s">
        <v>874</v>
      </c>
      <c r="F3379" s="12" t="s">
        <v>642</v>
      </c>
      <c r="G3379" s="15">
        <v>14</v>
      </c>
      <c r="H3379" s="12" t="s">
        <v>1042</v>
      </c>
      <c r="I3379" s="12" t="s">
        <v>30</v>
      </c>
      <c r="K3379" s="16">
        <v>7.1</v>
      </c>
      <c r="L3379" s="16">
        <v>11.33</v>
      </c>
      <c r="M3379" s="16">
        <v>12.06</v>
      </c>
    </row>
    <row r="3380" spans="2:13" ht="22.5" outlineLevel="3" x14ac:dyDescent="0.2">
      <c r="B3380" s="4" t="str">
        <f>"0010210014"</f>
        <v>0010210014</v>
      </c>
      <c r="C3380" s="5" t="str">
        <f>"168241"</f>
        <v>168241</v>
      </c>
      <c r="D3380" s="12" t="s">
        <v>1044</v>
      </c>
      <c r="E3380" s="14" t="s">
        <v>874</v>
      </c>
      <c r="F3380" s="12" t="s">
        <v>642</v>
      </c>
      <c r="G3380" s="15">
        <v>14</v>
      </c>
      <c r="H3380" s="12" t="s">
        <v>1042</v>
      </c>
      <c r="I3380" s="12" t="s">
        <v>68</v>
      </c>
      <c r="K3380" s="16">
        <v>6.62</v>
      </c>
      <c r="L3380" s="16">
        <v>10.56</v>
      </c>
      <c r="M3380" s="16">
        <v>12.06</v>
      </c>
    </row>
    <row r="3381" spans="2:13" outlineLevel="2" x14ac:dyDescent="0.2"/>
    <row r="3382" spans="2:13" ht="22.5" outlineLevel="3" x14ac:dyDescent="0.2">
      <c r="B3382" s="4" t="str">
        <f>"0010210030"</f>
        <v>0010210030</v>
      </c>
      <c r="C3382" s="5" t="str">
        <f>"438424"</f>
        <v>438424</v>
      </c>
      <c r="D3382" s="12" t="s">
        <v>1040</v>
      </c>
      <c r="E3382" s="14" t="s">
        <v>874</v>
      </c>
      <c r="F3382" s="12" t="s">
        <v>642</v>
      </c>
      <c r="G3382" s="15">
        <v>28</v>
      </c>
      <c r="H3382" s="12" t="s">
        <v>1042</v>
      </c>
      <c r="I3382" s="12" t="s">
        <v>240</v>
      </c>
      <c r="J3382" s="2" t="s">
        <v>1400</v>
      </c>
      <c r="K3382" s="16">
        <v>13.24</v>
      </c>
      <c r="L3382" s="16">
        <v>20.67</v>
      </c>
      <c r="M3382" s="16">
        <v>19.54</v>
      </c>
    </row>
    <row r="3383" spans="2:13" ht="22.5" outlineLevel="3" x14ac:dyDescent="0.2">
      <c r="B3383" s="4" t="str">
        <f>"0010210030"</f>
        <v>0010210030</v>
      </c>
      <c r="C3383" s="5" t="str">
        <f>"029448"</f>
        <v>029448</v>
      </c>
      <c r="D3383" s="12" t="s">
        <v>1045</v>
      </c>
      <c r="E3383" s="14" t="s">
        <v>874</v>
      </c>
      <c r="F3383" s="12" t="s">
        <v>642</v>
      </c>
      <c r="G3383" s="15">
        <v>28</v>
      </c>
      <c r="H3383" s="12" t="s">
        <v>1042</v>
      </c>
      <c r="I3383" s="12" t="s">
        <v>104</v>
      </c>
      <c r="K3383" s="16">
        <v>12.47</v>
      </c>
      <c r="L3383" s="16">
        <v>19.53</v>
      </c>
      <c r="M3383" s="16">
        <v>19.54</v>
      </c>
    </row>
    <row r="3384" spans="2:13" ht="22.5" outlineLevel="3" x14ac:dyDescent="0.2">
      <c r="B3384" s="4" t="str">
        <f>"0010210030"</f>
        <v>0010210030</v>
      </c>
      <c r="C3384" s="5" t="str">
        <f>"091034"</f>
        <v>091034</v>
      </c>
      <c r="D3384" s="12" t="s">
        <v>1043</v>
      </c>
      <c r="E3384" s="14" t="s">
        <v>874</v>
      </c>
      <c r="F3384" s="12" t="s">
        <v>642</v>
      </c>
      <c r="G3384" s="15">
        <v>28</v>
      </c>
      <c r="H3384" s="12" t="s">
        <v>1042</v>
      </c>
      <c r="I3384" s="12" t="s">
        <v>30</v>
      </c>
      <c r="K3384" s="16">
        <v>12.47</v>
      </c>
      <c r="L3384" s="16">
        <v>19.53</v>
      </c>
      <c r="M3384" s="16">
        <v>19.54</v>
      </c>
    </row>
    <row r="3385" spans="2:13" ht="22.5" outlineLevel="3" x14ac:dyDescent="0.2">
      <c r="B3385" s="4" t="str">
        <f>"0010210030"</f>
        <v>0010210030</v>
      </c>
      <c r="C3385" s="5" t="str">
        <f>"154728"</f>
        <v>154728</v>
      </c>
      <c r="D3385" s="12" t="s">
        <v>1044</v>
      </c>
      <c r="E3385" s="14" t="s">
        <v>874</v>
      </c>
      <c r="F3385" s="12" t="s">
        <v>642</v>
      </c>
      <c r="G3385" s="15">
        <v>28</v>
      </c>
      <c r="H3385" s="12" t="s">
        <v>1042</v>
      </c>
      <c r="I3385" s="12" t="s">
        <v>68</v>
      </c>
      <c r="K3385" s="16">
        <v>11.47</v>
      </c>
      <c r="L3385" s="16">
        <v>18.04</v>
      </c>
      <c r="M3385" s="16">
        <v>19.54</v>
      </c>
    </row>
    <row r="3386" spans="2:13" outlineLevel="2" x14ac:dyDescent="0.2"/>
    <row r="3387" spans="2:13" ht="22.5" outlineLevel="3" x14ac:dyDescent="0.2">
      <c r="B3387" s="4" t="str">
        <f>"0010210100"</f>
        <v>0010210100</v>
      </c>
      <c r="C3387" s="5" t="str">
        <f>"438432"</f>
        <v>438432</v>
      </c>
      <c r="D3387" s="12" t="s">
        <v>1040</v>
      </c>
      <c r="E3387" s="14" t="s">
        <v>874</v>
      </c>
      <c r="F3387" s="12" t="s">
        <v>642</v>
      </c>
      <c r="G3387" s="15">
        <v>98</v>
      </c>
      <c r="H3387" s="12" t="s">
        <v>1042</v>
      </c>
      <c r="I3387" s="12" t="s">
        <v>240</v>
      </c>
      <c r="K3387" s="16">
        <v>35.5</v>
      </c>
      <c r="L3387" s="16">
        <v>53.74</v>
      </c>
      <c r="M3387" s="16">
        <v>34.74</v>
      </c>
    </row>
    <row r="3388" spans="2:13" ht="22.5" outlineLevel="3" x14ac:dyDescent="0.2">
      <c r="B3388" s="4" t="str">
        <f>"0010210100"</f>
        <v>0010210100</v>
      </c>
      <c r="C3388" s="5" t="str">
        <f>"066351"</f>
        <v>066351</v>
      </c>
      <c r="D3388" s="12" t="s">
        <v>1046</v>
      </c>
      <c r="E3388" s="14" t="s">
        <v>874</v>
      </c>
      <c r="F3388" s="12" t="s">
        <v>642</v>
      </c>
      <c r="G3388" s="15">
        <v>100</v>
      </c>
      <c r="H3388" s="12" t="s">
        <v>1042</v>
      </c>
      <c r="I3388" s="12" t="s">
        <v>62</v>
      </c>
      <c r="J3388" s="2" t="s">
        <v>1400</v>
      </c>
      <c r="K3388" s="16">
        <v>21.7</v>
      </c>
      <c r="L3388" s="16">
        <v>33.24</v>
      </c>
      <c r="M3388" s="16">
        <v>34.74</v>
      </c>
    </row>
    <row r="3389" spans="2:13" ht="22.5" outlineLevel="3" x14ac:dyDescent="0.2">
      <c r="B3389" s="4" t="str">
        <f>"0010210100"</f>
        <v>0010210100</v>
      </c>
      <c r="C3389" s="5" t="str">
        <f>"029459"</f>
        <v>029459</v>
      </c>
      <c r="D3389" s="12" t="s">
        <v>1045</v>
      </c>
      <c r="E3389" s="14" t="s">
        <v>874</v>
      </c>
      <c r="F3389" s="12" t="s">
        <v>642</v>
      </c>
      <c r="G3389" s="15">
        <v>98</v>
      </c>
      <c r="H3389" s="12" t="s">
        <v>1042</v>
      </c>
      <c r="I3389" s="12" t="s">
        <v>104</v>
      </c>
      <c r="K3389" s="16">
        <v>21.7</v>
      </c>
      <c r="L3389" s="16">
        <v>33.24</v>
      </c>
      <c r="M3389" s="16">
        <v>34.74</v>
      </c>
    </row>
    <row r="3390" spans="2:13" ht="22.5" outlineLevel="3" x14ac:dyDescent="0.2">
      <c r="B3390" s="4" t="str">
        <f>"0010210100"</f>
        <v>0010210100</v>
      </c>
      <c r="C3390" s="5" t="str">
        <f>"091043"</f>
        <v>091043</v>
      </c>
      <c r="D3390" s="12" t="s">
        <v>1043</v>
      </c>
      <c r="E3390" s="14" t="s">
        <v>874</v>
      </c>
      <c r="F3390" s="12" t="s">
        <v>642</v>
      </c>
      <c r="G3390" s="15">
        <v>98</v>
      </c>
      <c r="H3390" s="12" t="s">
        <v>1042</v>
      </c>
      <c r="I3390" s="12" t="s">
        <v>30</v>
      </c>
      <c r="K3390" s="16">
        <v>21.7</v>
      </c>
      <c r="L3390" s="16">
        <v>33.24</v>
      </c>
      <c r="M3390" s="16">
        <v>34.74</v>
      </c>
    </row>
    <row r="3391" spans="2:13" ht="22.5" outlineLevel="3" x14ac:dyDescent="0.2">
      <c r="B3391" s="4" t="str">
        <f>"0010210100"</f>
        <v>0010210100</v>
      </c>
      <c r="C3391" s="5" t="str">
        <f>"154739"</f>
        <v>154739</v>
      </c>
      <c r="D3391" s="12" t="s">
        <v>1044</v>
      </c>
      <c r="E3391" s="14" t="s">
        <v>874</v>
      </c>
      <c r="F3391" s="12" t="s">
        <v>642</v>
      </c>
      <c r="G3391" s="15">
        <v>98</v>
      </c>
      <c r="H3391" s="12" t="s">
        <v>1042</v>
      </c>
      <c r="I3391" s="12" t="s">
        <v>68</v>
      </c>
      <c r="K3391" s="16">
        <v>21.7</v>
      </c>
      <c r="L3391" s="16">
        <v>33.24</v>
      </c>
      <c r="M3391" s="16">
        <v>34.74</v>
      </c>
    </row>
    <row r="3392" spans="2:13" outlineLevel="2" x14ac:dyDescent="0.2"/>
    <row r="3393" spans="1:13" ht="22.5" outlineLevel="3" x14ac:dyDescent="0.2">
      <c r="B3393" s="4" t="str">
        <f>"0010220014"</f>
        <v>0010220014</v>
      </c>
      <c r="C3393" s="5" t="str">
        <f>"164683"</f>
        <v>164683</v>
      </c>
      <c r="D3393" s="12" t="s">
        <v>1043</v>
      </c>
      <c r="E3393" s="14" t="s">
        <v>2</v>
      </c>
      <c r="F3393" s="12" t="s">
        <v>642</v>
      </c>
      <c r="G3393" s="15">
        <v>14</v>
      </c>
      <c r="H3393" s="12" t="s">
        <v>1042</v>
      </c>
      <c r="I3393" s="12" t="s">
        <v>30</v>
      </c>
      <c r="K3393" s="16">
        <v>12.9</v>
      </c>
      <c r="L3393" s="16">
        <v>20.170000000000002</v>
      </c>
      <c r="M3393" s="16">
        <v>21.67</v>
      </c>
    </row>
    <row r="3394" spans="1:13" ht="22.5" outlineLevel="3" x14ac:dyDescent="0.2">
      <c r="B3394" s="4" t="str">
        <f>"0010220014"</f>
        <v>0010220014</v>
      </c>
      <c r="C3394" s="5" t="str">
        <f>"168253"</f>
        <v>168253</v>
      </c>
      <c r="D3394" s="12" t="s">
        <v>1044</v>
      </c>
      <c r="E3394" s="14" t="s">
        <v>2</v>
      </c>
      <c r="F3394" s="12" t="s">
        <v>642</v>
      </c>
      <c r="G3394" s="15">
        <v>14</v>
      </c>
      <c r="H3394" s="12" t="s">
        <v>1042</v>
      </c>
      <c r="I3394" s="12" t="s">
        <v>68</v>
      </c>
      <c r="K3394" s="16">
        <v>12.9</v>
      </c>
      <c r="L3394" s="16">
        <v>20.170000000000002</v>
      </c>
      <c r="M3394" s="16">
        <v>21.67</v>
      </c>
    </row>
    <row r="3395" spans="1:13" ht="22.5" outlineLevel="3" x14ac:dyDescent="0.2">
      <c r="B3395" s="4" t="str">
        <f>"0010220030"</f>
        <v>0010220030</v>
      </c>
      <c r="C3395" s="5" t="str">
        <f>"438333"</f>
        <v>438333</v>
      </c>
      <c r="D3395" s="12" t="s">
        <v>1040</v>
      </c>
      <c r="E3395" s="14" t="s">
        <v>2</v>
      </c>
      <c r="F3395" s="12" t="s">
        <v>642</v>
      </c>
      <c r="G3395" s="15">
        <v>28</v>
      </c>
      <c r="H3395" s="12" t="s">
        <v>1042</v>
      </c>
      <c r="I3395" s="12" t="s">
        <v>240</v>
      </c>
      <c r="J3395" s="2" t="s">
        <v>1400</v>
      </c>
      <c r="K3395" s="16">
        <v>24.08</v>
      </c>
      <c r="L3395" s="16">
        <v>36.770000000000003</v>
      </c>
      <c r="M3395" s="16">
        <v>32.56</v>
      </c>
    </row>
    <row r="3396" spans="1:13" ht="22.5" outlineLevel="3" x14ac:dyDescent="0.2">
      <c r="B3396" s="4" t="str">
        <f>"0010220030"</f>
        <v>0010220030</v>
      </c>
      <c r="C3396" s="5" t="str">
        <f>"029472"</f>
        <v>029472</v>
      </c>
      <c r="D3396" s="12" t="s">
        <v>1045</v>
      </c>
      <c r="E3396" s="14" t="s">
        <v>2</v>
      </c>
      <c r="F3396" s="12" t="s">
        <v>642</v>
      </c>
      <c r="G3396" s="15">
        <v>28</v>
      </c>
      <c r="H3396" s="12" t="s">
        <v>1042</v>
      </c>
      <c r="I3396" s="12" t="s">
        <v>104</v>
      </c>
      <c r="K3396" s="16">
        <v>20.239999999999998</v>
      </c>
      <c r="L3396" s="16">
        <v>31.06</v>
      </c>
      <c r="M3396" s="16">
        <v>32.56</v>
      </c>
    </row>
    <row r="3397" spans="1:13" ht="22.5" outlineLevel="3" x14ac:dyDescent="0.2">
      <c r="B3397" s="4" t="str">
        <f>"0010220030"</f>
        <v>0010220030</v>
      </c>
      <c r="C3397" s="5" t="str">
        <f>"090997"</f>
        <v>090997</v>
      </c>
      <c r="D3397" s="12" t="s">
        <v>1043</v>
      </c>
      <c r="E3397" s="14" t="s">
        <v>2</v>
      </c>
      <c r="F3397" s="12" t="s">
        <v>642</v>
      </c>
      <c r="G3397" s="15">
        <v>28</v>
      </c>
      <c r="H3397" s="12" t="s">
        <v>1042</v>
      </c>
      <c r="I3397" s="12" t="s">
        <v>30</v>
      </c>
      <c r="K3397" s="16">
        <v>20.239999999999998</v>
      </c>
      <c r="L3397" s="16">
        <v>31.06</v>
      </c>
      <c r="M3397" s="16">
        <v>32.56</v>
      </c>
    </row>
    <row r="3398" spans="1:13" ht="22.5" outlineLevel="3" x14ac:dyDescent="0.2">
      <c r="B3398" s="4" t="str">
        <f>"0010220030"</f>
        <v>0010220030</v>
      </c>
      <c r="C3398" s="5" t="str">
        <f>"154750"</f>
        <v>154750</v>
      </c>
      <c r="D3398" s="12" t="s">
        <v>1044</v>
      </c>
      <c r="E3398" s="14" t="s">
        <v>2</v>
      </c>
      <c r="F3398" s="12" t="s">
        <v>642</v>
      </c>
      <c r="G3398" s="15">
        <v>28</v>
      </c>
      <c r="H3398" s="12" t="s">
        <v>1042</v>
      </c>
      <c r="I3398" s="12" t="s">
        <v>68</v>
      </c>
      <c r="K3398" s="16">
        <v>20.239999999999998</v>
      </c>
      <c r="L3398" s="16">
        <v>31.06</v>
      </c>
      <c r="M3398" s="16">
        <v>32.56</v>
      </c>
    </row>
    <row r="3399" spans="1:13" outlineLevel="2" x14ac:dyDescent="0.2"/>
    <row r="3400" spans="1:13" ht="22.5" outlineLevel="3" x14ac:dyDescent="0.2">
      <c r="B3400" s="4" t="str">
        <f>"0010220100"</f>
        <v>0010220100</v>
      </c>
      <c r="C3400" s="5" t="str">
        <f>"438457"</f>
        <v>438457</v>
      </c>
      <c r="D3400" s="12" t="s">
        <v>1040</v>
      </c>
      <c r="E3400" s="14" t="s">
        <v>2</v>
      </c>
      <c r="F3400" s="12" t="s">
        <v>642</v>
      </c>
      <c r="G3400" s="15">
        <v>98</v>
      </c>
      <c r="H3400" s="12" t="s">
        <v>1042</v>
      </c>
      <c r="I3400" s="12" t="s">
        <v>240</v>
      </c>
      <c r="K3400" s="16">
        <v>34.299999999999997</v>
      </c>
      <c r="L3400" s="16">
        <v>51.95</v>
      </c>
      <c r="M3400" s="16">
        <v>42.61</v>
      </c>
    </row>
    <row r="3401" spans="1:13" ht="22.5" outlineLevel="3" x14ac:dyDescent="0.2">
      <c r="B3401" s="4" t="str">
        <f>"0010220100"</f>
        <v>0010220100</v>
      </c>
      <c r="C3401" s="5" t="str">
        <f>"029483"</f>
        <v>029483</v>
      </c>
      <c r="D3401" s="12" t="s">
        <v>1045</v>
      </c>
      <c r="E3401" s="14" t="s">
        <v>2</v>
      </c>
      <c r="F3401" s="12" t="s">
        <v>642</v>
      </c>
      <c r="G3401" s="15">
        <v>98</v>
      </c>
      <c r="H3401" s="12" t="s">
        <v>1042</v>
      </c>
      <c r="I3401" s="12" t="s">
        <v>104</v>
      </c>
      <c r="K3401" s="16">
        <v>26.68</v>
      </c>
      <c r="L3401" s="16">
        <v>40.630000000000003</v>
      </c>
      <c r="M3401" s="16">
        <v>42.61</v>
      </c>
    </row>
    <row r="3402" spans="1:13" ht="22.5" outlineLevel="3" x14ac:dyDescent="0.2">
      <c r="B3402" s="4" t="str">
        <f>"0010220100"</f>
        <v>0010220100</v>
      </c>
      <c r="C3402" s="5" t="str">
        <f>"091006"</f>
        <v>091006</v>
      </c>
      <c r="D3402" s="12" t="s">
        <v>1043</v>
      </c>
      <c r="E3402" s="14" t="s">
        <v>2</v>
      </c>
      <c r="F3402" s="12" t="s">
        <v>642</v>
      </c>
      <c r="G3402" s="15">
        <v>98</v>
      </c>
      <c r="H3402" s="12" t="s">
        <v>1042</v>
      </c>
      <c r="I3402" s="12" t="s">
        <v>30</v>
      </c>
      <c r="K3402" s="16">
        <v>26.68</v>
      </c>
      <c r="L3402" s="16">
        <v>40.630000000000003</v>
      </c>
      <c r="M3402" s="16">
        <v>42.61</v>
      </c>
    </row>
    <row r="3403" spans="1:13" ht="22.5" outlineLevel="3" x14ac:dyDescent="0.2">
      <c r="B3403" s="4" t="str">
        <f>"0010220100"</f>
        <v>0010220100</v>
      </c>
      <c r="C3403" s="5" t="str">
        <f>"154761"</f>
        <v>154761</v>
      </c>
      <c r="D3403" s="12" t="s">
        <v>1044</v>
      </c>
      <c r="E3403" s="14" t="s">
        <v>2</v>
      </c>
      <c r="F3403" s="12" t="s">
        <v>642</v>
      </c>
      <c r="G3403" s="15">
        <v>98</v>
      </c>
      <c r="H3403" s="12" t="s">
        <v>1042</v>
      </c>
      <c r="I3403" s="12" t="s">
        <v>68</v>
      </c>
      <c r="K3403" s="16">
        <v>26.68</v>
      </c>
      <c r="L3403" s="16">
        <v>40.630000000000003</v>
      </c>
      <c r="M3403" s="16">
        <v>42.61</v>
      </c>
    </row>
    <row r="3404" spans="1:13" ht="22.5" outlineLevel="3" x14ac:dyDescent="0.2">
      <c r="B3404" s="4" t="str">
        <f>"0010220100"</f>
        <v>0010220100</v>
      </c>
      <c r="C3404" s="5" t="str">
        <f>"066378"</f>
        <v>066378</v>
      </c>
      <c r="D3404" s="12" t="s">
        <v>1046</v>
      </c>
      <c r="E3404" s="14" t="s">
        <v>2</v>
      </c>
      <c r="F3404" s="12" t="s">
        <v>642</v>
      </c>
      <c r="G3404" s="15">
        <v>100</v>
      </c>
      <c r="H3404" s="12" t="s">
        <v>1042</v>
      </c>
      <c r="I3404" s="12" t="s">
        <v>62</v>
      </c>
      <c r="K3404" s="16">
        <v>26.67</v>
      </c>
      <c r="L3404" s="16">
        <v>40.61</v>
      </c>
      <c r="M3404" s="16">
        <v>42.61</v>
      </c>
    </row>
    <row r="3405" spans="1:13" outlineLevel="1" x14ac:dyDescent="0.2">
      <c r="A3405" s="3"/>
    </row>
    <row r="3406" spans="1:13" outlineLevel="2" x14ac:dyDescent="0.2">
      <c r="A3406" s="3" t="s">
        <v>1574</v>
      </c>
    </row>
    <row r="3407" spans="1:13" ht="22.5" outlineLevel="3" x14ac:dyDescent="0.2">
      <c r="B3407" s="4" t="str">
        <f t="shared" ref="B3407:B3413" si="107">"0006490030"</f>
        <v>0006490030</v>
      </c>
      <c r="C3407" s="5" t="str">
        <f>"128047"</f>
        <v>128047</v>
      </c>
      <c r="D3407" s="12" t="s">
        <v>743</v>
      </c>
      <c r="E3407" s="14" t="s">
        <v>31</v>
      </c>
      <c r="F3407" s="12" t="s">
        <v>15</v>
      </c>
      <c r="G3407" s="15">
        <v>28</v>
      </c>
      <c r="H3407" s="12" t="s">
        <v>744</v>
      </c>
      <c r="I3407" s="12" t="s">
        <v>79</v>
      </c>
      <c r="J3407" s="2" t="s">
        <v>1400</v>
      </c>
      <c r="K3407" s="16">
        <v>8.93</v>
      </c>
      <c r="L3407" s="16">
        <v>14.25</v>
      </c>
      <c r="M3407" s="16">
        <v>9.5500000000000007</v>
      </c>
    </row>
    <row r="3408" spans="1:13" ht="22.5" outlineLevel="3" x14ac:dyDescent="0.2">
      <c r="B3408" s="4" t="str">
        <f t="shared" si="107"/>
        <v>0006490030</v>
      </c>
      <c r="C3408" s="5" t="str">
        <f>"021721"</f>
        <v>021721</v>
      </c>
      <c r="D3408" s="12" t="s">
        <v>745</v>
      </c>
      <c r="E3408" s="14" t="s">
        <v>31</v>
      </c>
      <c r="F3408" s="12" t="s">
        <v>15</v>
      </c>
      <c r="G3408" s="15">
        <v>28</v>
      </c>
      <c r="H3408" s="12" t="s">
        <v>744</v>
      </c>
      <c r="I3408" s="12" t="s">
        <v>737</v>
      </c>
      <c r="K3408" s="16">
        <v>8.93</v>
      </c>
      <c r="L3408" s="16">
        <v>14.25</v>
      </c>
      <c r="M3408" s="16">
        <v>9.5500000000000007</v>
      </c>
    </row>
    <row r="3409" spans="2:13" ht="22.5" outlineLevel="3" x14ac:dyDescent="0.2">
      <c r="B3409" s="4" t="str">
        <f t="shared" si="107"/>
        <v>0006490030</v>
      </c>
      <c r="C3409" s="5" t="str">
        <f>"475529"</f>
        <v>475529</v>
      </c>
      <c r="D3409" s="12" t="s">
        <v>749</v>
      </c>
      <c r="E3409" s="14" t="s">
        <v>31</v>
      </c>
      <c r="F3409" s="12" t="s">
        <v>15</v>
      </c>
      <c r="G3409" s="15">
        <v>28</v>
      </c>
      <c r="H3409" s="12" t="s">
        <v>744</v>
      </c>
      <c r="I3409" s="12" t="s">
        <v>5</v>
      </c>
      <c r="K3409" s="16">
        <v>6.44</v>
      </c>
      <c r="L3409" s="16">
        <v>10.27</v>
      </c>
      <c r="M3409" s="16">
        <v>9.5500000000000007</v>
      </c>
    </row>
    <row r="3410" spans="2:13" ht="22.5" outlineLevel="3" x14ac:dyDescent="0.2">
      <c r="B3410" s="4" t="str">
        <f t="shared" si="107"/>
        <v>0006490030</v>
      </c>
      <c r="C3410" s="5" t="str">
        <f>"510348"</f>
        <v>510348</v>
      </c>
      <c r="D3410" s="12" t="s">
        <v>750</v>
      </c>
      <c r="E3410" s="14" t="s">
        <v>31</v>
      </c>
      <c r="F3410" s="12" t="s">
        <v>15</v>
      </c>
      <c r="G3410" s="15">
        <v>30</v>
      </c>
      <c r="H3410" s="12" t="s">
        <v>744</v>
      </c>
      <c r="I3410" s="12" t="s">
        <v>509</v>
      </c>
      <c r="K3410" s="16">
        <v>6.44</v>
      </c>
      <c r="L3410" s="16">
        <v>10.27</v>
      </c>
      <c r="M3410" s="16">
        <v>9.5500000000000007</v>
      </c>
    </row>
    <row r="3411" spans="2:13" ht="22.5" outlineLevel="3" x14ac:dyDescent="0.2">
      <c r="B3411" s="4" t="str">
        <f t="shared" si="107"/>
        <v>0006490030</v>
      </c>
      <c r="C3411" s="5" t="str">
        <f>"145799"</f>
        <v>145799</v>
      </c>
      <c r="D3411" s="12" t="s">
        <v>746</v>
      </c>
      <c r="E3411" s="14" t="s">
        <v>31</v>
      </c>
      <c r="F3411" s="12" t="s">
        <v>15</v>
      </c>
      <c r="G3411" s="15">
        <v>28</v>
      </c>
      <c r="H3411" s="12" t="s">
        <v>744</v>
      </c>
      <c r="I3411" s="12" t="s">
        <v>104</v>
      </c>
      <c r="K3411" s="16">
        <v>6.29</v>
      </c>
      <c r="L3411" s="16">
        <v>10.029999999999999</v>
      </c>
      <c r="M3411" s="16">
        <v>9.5500000000000007</v>
      </c>
    </row>
    <row r="3412" spans="2:13" ht="22.5" outlineLevel="3" x14ac:dyDescent="0.2">
      <c r="B3412" s="4" t="str">
        <f t="shared" si="107"/>
        <v>0006490030</v>
      </c>
      <c r="C3412" s="5" t="str">
        <f>"411324"</f>
        <v>411324</v>
      </c>
      <c r="D3412" s="12" t="s">
        <v>747</v>
      </c>
      <c r="E3412" s="14" t="s">
        <v>31</v>
      </c>
      <c r="F3412" s="12" t="s">
        <v>15</v>
      </c>
      <c r="G3412" s="15">
        <v>28</v>
      </c>
      <c r="H3412" s="12" t="s">
        <v>744</v>
      </c>
      <c r="I3412" s="12" t="s">
        <v>748</v>
      </c>
      <c r="K3412" s="16">
        <v>6.26</v>
      </c>
      <c r="L3412" s="16">
        <v>9.99</v>
      </c>
      <c r="M3412" s="16">
        <v>9.5500000000000007</v>
      </c>
    </row>
    <row r="3413" spans="2:13" ht="22.5" outlineLevel="3" x14ac:dyDescent="0.2">
      <c r="B3413" s="4" t="str">
        <f t="shared" si="107"/>
        <v>0006490030</v>
      </c>
      <c r="C3413" s="5" t="str">
        <f>"539894"</f>
        <v>539894</v>
      </c>
      <c r="D3413" s="12" t="s">
        <v>751</v>
      </c>
      <c r="E3413" s="14" t="s">
        <v>31</v>
      </c>
      <c r="F3413" s="12" t="s">
        <v>15</v>
      </c>
      <c r="G3413" s="15">
        <v>28</v>
      </c>
      <c r="H3413" s="12" t="s">
        <v>744</v>
      </c>
      <c r="I3413" s="12" t="s">
        <v>710</v>
      </c>
      <c r="K3413" s="16">
        <v>5.05</v>
      </c>
      <c r="L3413" s="16">
        <v>8.0500000000000007</v>
      </c>
      <c r="M3413" s="16">
        <v>9.5500000000000007</v>
      </c>
    </row>
    <row r="3414" spans="2:13" outlineLevel="2" x14ac:dyDescent="0.2"/>
    <row r="3415" spans="2:13" ht="22.5" outlineLevel="3" x14ac:dyDescent="0.2">
      <c r="B3415" s="4" t="str">
        <f>"0006490100"</f>
        <v>0006490100</v>
      </c>
      <c r="C3415" s="5" t="str">
        <f>"146234"</f>
        <v>146234</v>
      </c>
      <c r="D3415" s="12" t="s">
        <v>750</v>
      </c>
      <c r="E3415" s="14" t="s">
        <v>31</v>
      </c>
      <c r="F3415" s="12" t="s">
        <v>15</v>
      </c>
      <c r="G3415" s="15">
        <v>100</v>
      </c>
      <c r="H3415" s="12" t="s">
        <v>744</v>
      </c>
      <c r="I3415" s="12" t="s">
        <v>509</v>
      </c>
      <c r="K3415" s="16">
        <v>28.73</v>
      </c>
      <c r="L3415" s="16">
        <v>43.68</v>
      </c>
      <c r="M3415" s="16">
        <v>44.83</v>
      </c>
    </row>
    <row r="3416" spans="2:13" ht="22.5" outlineLevel="3" x14ac:dyDescent="0.2">
      <c r="B3416" s="4" t="str">
        <f>"0006490100"</f>
        <v>0006490100</v>
      </c>
      <c r="C3416" s="5" t="str">
        <f>"571628"</f>
        <v>571628</v>
      </c>
      <c r="D3416" s="12" t="s">
        <v>749</v>
      </c>
      <c r="E3416" s="14" t="s">
        <v>31</v>
      </c>
      <c r="F3416" s="12" t="s">
        <v>15</v>
      </c>
      <c r="G3416" s="15">
        <v>100</v>
      </c>
      <c r="H3416" s="12" t="s">
        <v>744</v>
      </c>
      <c r="I3416" s="12" t="s">
        <v>5</v>
      </c>
      <c r="K3416" s="16">
        <v>28.73</v>
      </c>
      <c r="L3416" s="16">
        <v>43.68</v>
      </c>
      <c r="M3416" s="16">
        <v>44.83</v>
      </c>
    </row>
    <row r="3417" spans="2:13" ht="22.5" outlineLevel="3" x14ac:dyDescent="0.2">
      <c r="B3417" s="4" t="str">
        <f>"0006490100"</f>
        <v>0006490100</v>
      </c>
      <c r="C3417" s="5" t="str">
        <f>"512618"</f>
        <v>512618</v>
      </c>
      <c r="D3417" s="12" t="s">
        <v>746</v>
      </c>
      <c r="E3417" s="14" t="s">
        <v>31</v>
      </c>
      <c r="F3417" s="12" t="s">
        <v>15</v>
      </c>
      <c r="G3417" s="15">
        <v>98</v>
      </c>
      <c r="H3417" s="12" t="s">
        <v>744</v>
      </c>
      <c r="I3417" s="12" t="s">
        <v>104</v>
      </c>
      <c r="K3417" s="16">
        <v>28.16</v>
      </c>
      <c r="L3417" s="16">
        <v>42.83</v>
      </c>
      <c r="M3417" s="16">
        <v>44.83</v>
      </c>
    </row>
    <row r="3418" spans="2:13" ht="22.5" outlineLevel="3" x14ac:dyDescent="0.2">
      <c r="B3418" s="4" t="str">
        <f t="shared" ref="B3418:B3424" si="108">"0006500030"</f>
        <v>0006500030</v>
      </c>
      <c r="C3418" s="5" t="str">
        <f>"118477"</f>
        <v>118477</v>
      </c>
      <c r="D3418" s="12" t="s">
        <v>743</v>
      </c>
      <c r="E3418" s="14" t="s">
        <v>605</v>
      </c>
      <c r="F3418" s="12" t="s">
        <v>15</v>
      </c>
      <c r="G3418" s="15">
        <v>28</v>
      </c>
      <c r="H3418" s="12" t="s">
        <v>744</v>
      </c>
      <c r="I3418" s="12" t="s">
        <v>79</v>
      </c>
      <c r="J3418" s="2" t="s">
        <v>1400</v>
      </c>
      <c r="K3418" s="16">
        <v>13.44</v>
      </c>
      <c r="L3418" s="16">
        <v>20.97</v>
      </c>
      <c r="M3418" s="16">
        <v>12.83</v>
      </c>
    </row>
    <row r="3419" spans="2:13" ht="22.5" outlineLevel="3" x14ac:dyDescent="0.2">
      <c r="B3419" s="4" t="str">
        <f t="shared" si="108"/>
        <v>0006500030</v>
      </c>
      <c r="C3419" s="5" t="str">
        <f>"021967"</f>
        <v>021967</v>
      </c>
      <c r="D3419" s="12" t="s">
        <v>745</v>
      </c>
      <c r="E3419" s="14" t="s">
        <v>605</v>
      </c>
      <c r="F3419" s="12" t="s">
        <v>15</v>
      </c>
      <c r="G3419" s="15">
        <v>28</v>
      </c>
      <c r="H3419" s="12" t="s">
        <v>744</v>
      </c>
      <c r="I3419" s="12" t="s">
        <v>737</v>
      </c>
      <c r="K3419" s="16">
        <v>12.01</v>
      </c>
      <c r="L3419" s="16">
        <v>18.84</v>
      </c>
      <c r="M3419" s="16">
        <v>12.83</v>
      </c>
    </row>
    <row r="3420" spans="2:13" ht="22.5" outlineLevel="3" x14ac:dyDescent="0.2">
      <c r="B3420" s="4" t="str">
        <f t="shared" si="108"/>
        <v>0006500030</v>
      </c>
      <c r="C3420" s="5" t="str">
        <f>"194246"</f>
        <v>194246</v>
      </c>
      <c r="D3420" s="12" t="s">
        <v>750</v>
      </c>
      <c r="E3420" s="14" t="s">
        <v>605</v>
      </c>
      <c r="F3420" s="12" t="s">
        <v>15</v>
      </c>
      <c r="G3420" s="15">
        <v>30</v>
      </c>
      <c r="H3420" s="12" t="s">
        <v>744</v>
      </c>
      <c r="I3420" s="12" t="s">
        <v>509</v>
      </c>
      <c r="K3420" s="16">
        <v>8.65</v>
      </c>
      <c r="L3420" s="16">
        <v>13.79</v>
      </c>
      <c r="M3420" s="16">
        <v>12.83</v>
      </c>
    </row>
    <row r="3421" spans="2:13" ht="22.5" outlineLevel="3" x14ac:dyDescent="0.2">
      <c r="B3421" s="4" t="str">
        <f t="shared" si="108"/>
        <v>0006500030</v>
      </c>
      <c r="C3421" s="5" t="str">
        <f>"545524"</f>
        <v>545524</v>
      </c>
      <c r="D3421" s="12" t="s">
        <v>749</v>
      </c>
      <c r="E3421" s="14" t="s">
        <v>605</v>
      </c>
      <c r="F3421" s="12" t="s">
        <v>15</v>
      </c>
      <c r="G3421" s="15">
        <v>28</v>
      </c>
      <c r="H3421" s="12" t="s">
        <v>744</v>
      </c>
      <c r="I3421" s="12" t="s">
        <v>5</v>
      </c>
      <c r="K3421" s="16">
        <v>8.65</v>
      </c>
      <c r="L3421" s="16">
        <v>13.79</v>
      </c>
      <c r="M3421" s="16">
        <v>12.83</v>
      </c>
    </row>
    <row r="3422" spans="2:13" ht="22.5" outlineLevel="3" x14ac:dyDescent="0.2">
      <c r="B3422" s="4" t="str">
        <f t="shared" si="108"/>
        <v>0006500030</v>
      </c>
      <c r="C3422" s="5" t="str">
        <f>"431814"</f>
        <v>431814</v>
      </c>
      <c r="D3422" s="12" t="s">
        <v>746</v>
      </c>
      <c r="E3422" s="14" t="s">
        <v>605</v>
      </c>
      <c r="F3422" s="12" t="s">
        <v>15</v>
      </c>
      <c r="G3422" s="15">
        <v>28</v>
      </c>
      <c r="H3422" s="12" t="s">
        <v>744</v>
      </c>
      <c r="I3422" s="12" t="s">
        <v>104</v>
      </c>
      <c r="K3422" s="16">
        <v>8.5</v>
      </c>
      <c r="L3422" s="16">
        <v>13.56</v>
      </c>
      <c r="M3422" s="16">
        <v>12.83</v>
      </c>
    </row>
    <row r="3423" spans="2:13" ht="22.5" outlineLevel="3" x14ac:dyDescent="0.2">
      <c r="B3423" s="4" t="str">
        <f t="shared" si="108"/>
        <v>0006500030</v>
      </c>
      <c r="C3423" s="5" t="str">
        <f>"491695"</f>
        <v>491695</v>
      </c>
      <c r="D3423" s="12" t="s">
        <v>747</v>
      </c>
      <c r="E3423" s="14" t="s">
        <v>605</v>
      </c>
      <c r="F3423" s="12" t="s">
        <v>15</v>
      </c>
      <c r="G3423" s="15">
        <v>28</v>
      </c>
      <c r="H3423" s="12" t="s">
        <v>744</v>
      </c>
      <c r="I3423" s="12" t="s">
        <v>748</v>
      </c>
      <c r="K3423" s="16">
        <v>8.27</v>
      </c>
      <c r="L3423" s="16">
        <v>13.19</v>
      </c>
      <c r="M3423" s="16">
        <v>12.83</v>
      </c>
    </row>
    <row r="3424" spans="2:13" ht="22.5" outlineLevel="3" x14ac:dyDescent="0.2">
      <c r="B3424" s="4" t="str">
        <f t="shared" si="108"/>
        <v>0006500030</v>
      </c>
      <c r="C3424" s="5" t="str">
        <f>"503134"</f>
        <v>503134</v>
      </c>
      <c r="D3424" s="12" t="s">
        <v>751</v>
      </c>
      <c r="E3424" s="14" t="s">
        <v>605</v>
      </c>
      <c r="F3424" s="12" t="s">
        <v>15</v>
      </c>
      <c r="G3424" s="15">
        <v>28</v>
      </c>
      <c r="H3424" s="12" t="s">
        <v>744</v>
      </c>
      <c r="I3424" s="12" t="s">
        <v>710</v>
      </c>
      <c r="K3424" s="16">
        <v>7.1</v>
      </c>
      <c r="L3424" s="16">
        <v>11.33</v>
      </c>
      <c r="M3424" s="16">
        <v>12.83</v>
      </c>
    </row>
    <row r="3425" spans="1:13" outlineLevel="2" x14ac:dyDescent="0.2"/>
    <row r="3426" spans="1:13" ht="22.5" outlineLevel="3" x14ac:dyDescent="0.2">
      <c r="B3426" s="4" t="str">
        <f t="shared" ref="B3426:B3431" si="109">"0006500100"</f>
        <v>0006500100</v>
      </c>
      <c r="C3426" s="5" t="str">
        <f>"462375"</f>
        <v>462375</v>
      </c>
      <c r="D3426" s="12" t="s">
        <v>743</v>
      </c>
      <c r="E3426" s="14" t="s">
        <v>605</v>
      </c>
      <c r="F3426" s="12" t="s">
        <v>15</v>
      </c>
      <c r="G3426" s="15">
        <v>98</v>
      </c>
      <c r="H3426" s="12" t="s">
        <v>744</v>
      </c>
      <c r="I3426" s="12" t="s">
        <v>79</v>
      </c>
      <c r="J3426" s="2" t="s">
        <v>1400</v>
      </c>
      <c r="K3426" s="16">
        <v>42.38</v>
      </c>
      <c r="L3426" s="16">
        <v>63.94</v>
      </c>
      <c r="M3426" s="16">
        <v>30.73</v>
      </c>
    </row>
    <row r="3427" spans="1:13" ht="22.5" outlineLevel="3" x14ac:dyDescent="0.2">
      <c r="B3427" s="4" t="str">
        <f t="shared" si="109"/>
        <v>0006500100</v>
      </c>
      <c r="C3427" s="5" t="str">
        <f>"112098"</f>
        <v>112098</v>
      </c>
      <c r="D3427" s="12" t="s">
        <v>746</v>
      </c>
      <c r="E3427" s="14" t="s">
        <v>605</v>
      </c>
      <c r="F3427" s="12" t="s">
        <v>15</v>
      </c>
      <c r="G3427" s="15">
        <v>98</v>
      </c>
      <c r="H3427" s="12" t="s">
        <v>744</v>
      </c>
      <c r="I3427" s="12" t="s">
        <v>104</v>
      </c>
      <c r="K3427" s="16">
        <v>22.21</v>
      </c>
      <c r="L3427" s="16">
        <v>33.99</v>
      </c>
      <c r="M3427" s="16">
        <v>30.73</v>
      </c>
    </row>
    <row r="3428" spans="1:13" ht="22.5" outlineLevel="3" x14ac:dyDescent="0.2">
      <c r="B3428" s="4" t="str">
        <f t="shared" si="109"/>
        <v>0006500100</v>
      </c>
      <c r="C3428" s="5" t="str">
        <f>"466654"</f>
        <v>466654</v>
      </c>
      <c r="D3428" s="12" t="s">
        <v>750</v>
      </c>
      <c r="E3428" s="14" t="s">
        <v>605</v>
      </c>
      <c r="F3428" s="12" t="s">
        <v>15</v>
      </c>
      <c r="G3428" s="15">
        <v>100</v>
      </c>
      <c r="H3428" s="12" t="s">
        <v>744</v>
      </c>
      <c r="I3428" s="12" t="s">
        <v>509</v>
      </c>
      <c r="K3428" s="16">
        <v>22.21</v>
      </c>
      <c r="L3428" s="16">
        <v>33.99</v>
      </c>
      <c r="M3428" s="16">
        <v>30.73</v>
      </c>
    </row>
    <row r="3429" spans="1:13" ht="22.5" outlineLevel="3" x14ac:dyDescent="0.2">
      <c r="B3429" s="4" t="str">
        <f t="shared" si="109"/>
        <v>0006500100</v>
      </c>
      <c r="C3429" s="5" t="str">
        <f>"501277"</f>
        <v>501277</v>
      </c>
      <c r="D3429" s="12" t="s">
        <v>749</v>
      </c>
      <c r="E3429" s="14" t="s">
        <v>605</v>
      </c>
      <c r="F3429" s="12" t="s">
        <v>15</v>
      </c>
      <c r="G3429" s="15">
        <v>100</v>
      </c>
      <c r="H3429" s="12" t="s">
        <v>744</v>
      </c>
      <c r="I3429" s="12" t="s">
        <v>5</v>
      </c>
      <c r="K3429" s="16">
        <v>22.21</v>
      </c>
      <c r="L3429" s="16">
        <v>33.99</v>
      </c>
      <c r="M3429" s="16">
        <v>30.73</v>
      </c>
    </row>
    <row r="3430" spans="1:13" ht="22.5" outlineLevel="3" x14ac:dyDescent="0.2">
      <c r="B3430" s="4" t="str">
        <f t="shared" si="109"/>
        <v>0006500100</v>
      </c>
      <c r="C3430" s="5" t="str">
        <f>"548722"</f>
        <v>548722</v>
      </c>
      <c r="D3430" s="12" t="s">
        <v>747</v>
      </c>
      <c r="E3430" s="14" t="s">
        <v>605</v>
      </c>
      <c r="F3430" s="12" t="s">
        <v>15</v>
      </c>
      <c r="G3430" s="15">
        <v>98</v>
      </c>
      <c r="H3430" s="12" t="s">
        <v>744</v>
      </c>
      <c r="I3430" s="12" t="s">
        <v>748</v>
      </c>
      <c r="K3430" s="16">
        <v>20.49</v>
      </c>
      <c r="L3430" s="16">
        <v>31.44</v>
      </c>
      <c r="M3430" s="16">
        <v>30.73</v>
      </c>
    </row>
    <row r="3431" spans="1:13" ht="22.5" outlineLevel="3" x14ac:dyDescent="0.2">
      <c r="B3431" s="4" t="str">
        <f t="shared" si="109"/>
        <v>0006500100</v>
      </c>
      <c r="C3431" s="5" t="str">
        <f>"151832"</f>
        <v>151832</v>
      </c>
      <c r="D3431" s="12" t="s">
        <v>751</v>
      </c>
      <c r="E3431" s="14" t="s">
        <v>605</v>
      </c>
      <c r="F3431" s="12" t="s">
        <v>15</v>
      </c>
      <c r="G3431" s="15">
        <v>98</v>
      </c>
      <c r="H3431" s="12" t="s">
        <v>744</v>
      </c>
      <c r="I3431" s="12" t="s">
        <v>710</v>
      </c>
      <c r="K3431" s="16">
        <v>19</v>
      </c>
      <c r="L3431" s="16">
        <v>29.23</v>
      </c>
      <c r="M3431" s="16">
        <v>30.73</v>
      </c>
    </row>
    <row r="3432" spans="1:13" outlineLevel="2" x14ac:dyDescent="0.2"/>
    <row r="3433" spans="1:13" ht="22.5" outlineLevel="3" x14ac:dyDescent="0.2">
      <c r="B3433" s="4" t="str">
        <f>"0016260030"</f>
        <v>0016260030</v>
      </c>
      <c r="C3433" s="5" t="str">
        <f>"025301"</f>
        <v>025301</v>
      </c>
      <c r="D3433" s="12" t="s">
        <v>1372</v>
      </c>
      <c r="E3433" s="14" t="s">
        <v>14</v>
      </c>
      <c r="F3433" s="12" t="s">
        <v>15</v>
      </c>
      <c r="G3433" s="15">
        <v>28</v>
      </c>
      <c r="H3433" s="12" t="s">
        <v>744</v>
      </c>
      <c r="I3433" s="12" t="s">
        <v>1373</v>
      </c>
      <c r="K3433" s="16">
        <v>11.9</v>
      </c>
      <c r="L3433" s="16">
        <v>18.690000000000001</v>
      </c>
      <c r="M3433" s="16">
        <v>18.47</v>
      </c>
    </row>
    <row r="3434" spans="1:13" ht="22.5" outlineLevel="3" x14ac:dyDescent="0.2">
      <c r="B3434" s="4" t="str">
        <f>"0016260030"</f>
        <v>0016260030</v>
      </c>
      <c r="C3434" s="5" t="str">
        <f>"199099"</f>
        <v>199099</v>
      </c>
      <c r="D3434" s="12" t="s">
        <v>1374</v>
      </c>
      <c r="E3434" s="14" t="s">
        <v>14</v>
      </c>
      <c r="F3434" s="12" t="s">
        <v>15</v>
      </c>
      <c r="G3434" s="15">
        <v>28</v>
      </c>
      <c r="H3434" s="12" t="s">
        <v>744</v>
      </c>
      <c r="I3434" s="12" t="s">
        <v>509</v>
      </c>
      <c r="K3434" s="16">
        <v>11.9</v>
      </c>
      <c r="L3434" s="16">
        <v>18.690000000000001</v>
      </c>
      <c r="M3434" s="16">
        <v>18.47</v>
      </c>
    </row>
    <row r="3435" spans="1:13" ht="22.5" outlineLevel="3" x14ac:dyDescent="0.2">
      <c r="B3435" s="4" t="str">
        <f>"0016260030"</f>
        <v>0016260030</v>
      </c>
      <c r="C3435" s="5" t="str">
        <f>"507610"</f>
        <v>507610</v>
      </c>
      <c r="D3435" s="12" t="s">
        <v>751</v>
      </c>
      <c r="E3435" s="14" t="s">
        <v>14</v>
      </c>
      <c r="F3435" s="12" t="s">
        <v>15</v>
      </c>
      <c r="G3435" s="15">
        <v>28</v>
      </c>
      <c r="H3435" s="12" t="s">
        <v>744</v>
      </c>
      <c r="I3435" s="12" t="s">
        <v>710</v>
      </c>
      <c r="K3435" s="16">
        <v>10.75</v>
      </c>
      <c r="L3435" s="16">
        <v>16.97</v>
      </c>
      <c r="M3435" s="16">
        <v>18.47</v>
      </c>
    </row>
    <row r="3436" spans="1:13" outlineLevel="2" x14ac:dyDescent="0.2"/>
    <row r="3437" spans="1:13" ht="22.5" outlineLevel="3" x14ac:dyDescent="0.2">
      <c r="B3437" s="4" t="str">
        <f>"0016270056"</f>
        <v>0016270056</v>
      </c>
      <c r="C3437" s="5" t="str">
        <f>"019469"</f>
        <v>019469</v>
      </c>
      <c r="D3437" s="12" t="s">
        <v>1372</v>
      </c>
      <c r="E3437" s="14" t="s">
        <v>98</v>
      </c>
      <c r="F3437" s="12" t="s">
        <v>15</v>
      </c>
      <c r="G3437" s="15">
        <v>56</v>
      </c>
      <c r="H3437" s="12" t="s">
        <v>744</v>
      </c>
      <c r="I3437" s="12" t="s">
        <v>1373</v>
      </c>
      <c r="K3437" s="16">
        <v>23.79</v>
      </c>
      <c r="L3437" s="16">
        <v>36.340000000000003</v>
      </c>
      <c r="M3437" s="16">
        <v>29.24</v>
      </c>
    </row>
    <row r="3438" spans="1:13" ht="22.5" outlineLevel="3" x14ac:dyDescent="0.2">
      <c r="B3438" s="4" t="str">
        <f>"0016270056"</f>
        <v>0016270056</v>
      </c>
      <c r="C3438" s="5" t="str">
        <f>"454335"</f>
        <v>454335</v>
      </c>
      <c r="D3438" s="12" t="s">
        <v>1374</v>
      </c>
      <c r="E3438" s="14" t="s">
        <v>98</v>
      </c>
      <c r="F3438" s="12" t="s">
        <v>15</v>
      </c>
      <c r="G3438" s="15">
        <v>56</v>
      </c>
      <c r="H3438" s="12" t="s">
        <v>744</v>
      </c>
      <c r="I3438" s="12" t="s">
        <v>509</v>
      </c>
      <c r="K3438" s="16">
        <v>20.010000000000002</v>
      </c>
      <c r="L3438" s="16">
        <v>30.72</v>
      </c>
      <c r="M3438" s="16">
        <v>29.24</v>
      </c>
    </row>
    <row r="3439" spans="1:13" ht="22.5" outlineLevel="3" x14ac:dyDescent="0.2">
      <c r="B3439" s="4" t="str">
        <f>"0016270056"</f>
        <v>0016270056</v>
      </c>
      <c r="C3439" s="5" t="str">
        <f>"168806"</f>
        <v>168806</v>
      </c>
      <c r="D3439" s="12" t="s">
        <v>751</v>
      </c>
      <c r="E3439" s="14" t="s">
        <v>98</v>
      </c>
      <c r="F3439" s="12" t="s">
        <v>15</v>
      </c>
      <c r="G3439" s="15">
        <v>56</v>
      </c>
      <c r="H3439" s="12" t="s">
        <v>744</v>
      </c>
      <c r="I3439" s="12" t="s">
        <v>710</v>
      </c>
      <c r="K3439" s="16">
        <v>18</v>
      </c>
      <c r="L3439" s="16">
        <v>27.74</v>
      </c>
      <c r="M3439" s="16">
        <v>29.24</v>
      </c>
    </row>
    <row r="3440" spans="1:13" outlineLevel="1" x14ac:dyDescent="0.2">
      <c r="A3440" s="3"/>
    </row>
    <row r="3441" spans="1:13" outlineLevel="2" x14ac:dyDescent="0.2">
      <c r="A3441" s="3" t="s">
        <v>1575</v>
      </c>
    </row>
    <row r="3442" spans="1:13" outlineLevel="3" x14ac:dyDescent="0.2">
      <c r="B3442" s="4" t="str">
        <f>"0015690030"</f>
        <v>0015690030</v>
      </c>
      <c r="C3442" s="5" t="str">
        <f>"011489"</f>
        <v>011489</v>
      </c>
      <c r="D3442" s="12" t="s">
        <v>1351</v>
      </c>
      <c r="E3442" s="14" t="s">
        <v>1352</v>
      </c>
      <c r="F3442" s="12" t="s">
        <v>441</v>
      </c>
      <c r="G3442" s="15">
        <v>30</v>
      </c>
      <c r="H3442" s="12" t="s">
        <v>1353</v>
      </c>
      <c r="I3442" s="12" t="s">
        <v>980</v>
      </c>
      <c r="K3442" s="16">
        <v>20.54</v>
      </c>
      <c r="L3442" s="16">
        <v>31.52</v>
      </c>
      <c r="M3442" s="16">
        <v>29.04</v>
      </c>
    </row>
    <row r="3443" spans="1:13" outlineLevel="3" x14ac:dyDescent="0.2">
      <c r="B3443" s="4" t="str">
        <f>"0015690030"</f>
        <v>0015690030</v>
      </c>
      <c r="C3443" s="5" t="str">
        <f>"130449"</f>
        <v>130449</v>
      </c>
      <c r="D3443" s="12" t="s">
        <v>1354</v>
      </c>
      <c r="E3443" s="14" t="s">
        <v>1352</v>
      </c>
      <c r="F3443" s="12" t="s">
        <v>441</v>
      </c>
      <c r="G3443" s="15">
        <v>30</v>
      </c>
      <c r="H3443" s="12" t="s">
        <v>1353</v>
      </c>
      <c r="I3443" s="12" t="s">
        <v>70</v>
      </c>
      <c r="K3443" s="16">
        <v>19.149999999999999</v>
      </c>
      <c r="L3443" s="16">
        <v>29.45</v>
      </c>
      <c r="M3443" s="16">
        <v>29.04</v>
      </c>
    </row>
    <row r="3444" spans="1:13" outlineLevel="3" x14ac:dyDescent="0.2">
      <c r="B3444" s="4" t="str">
        <f>"0015690030"</f>
        <v>0015690030</v>
      </c>
      <c r="C3444" s="5" t="str">
        <f>"507819"</f>
        <v>507819</v>
      </c>
      <c r="D3444" s="12" t="s">
        <v>1355</v>
      </c>
      <c r="E3444" s="14" t="s">
        <v>1352</v>
      </c>
      <c r="F3444" s="12" t="s">
        <v>441</v>
      </c>
      <c r="G3444" s="15">
        <v>30</v>
      </c>
      <c r="H3444" s="12" t="s">
        <v>1353</v>
      </c>
      <c r="I3444" s="12" t="s">
        <v>11</v>
      </c>
      <c r="K3444" s="16">
        <v>17.87</v>
      </c>
      <c r="L3444" s="16">
        <v>27.54</v>
      </c>
      <c r="M3444" s="16">
        <v>29.04</v>
      </c>
    </row>
    <row r="3445" spans="1:13" outlineLevel="2" x14ac:dyDescent="0.2"/>
    <row r="3446" spans="1:13" outlineLevel="3" x14ac:dyDescent="0.2">
      <c r="B3446" s="4" t="str">
        <f>"0015710030"</f>
        <v>0015710030</v>
      </c>
      <c r="C3446" s="5" t="str">
        <f>"011555"</f>
        <v>011555</v>
      </c>
      <c r="D3446" s="12" t="s">
        <v>1351</v>
      </c>
      <c r="E3446" s="14" t="s">
        <v>1356</v>
      </c>
      <c r="F3446" s="12" t="s">
        <v>441</v>
      </c>
      <c r="G3446" s="15">
        <v>30</v>
      </c>
      <c r="H3446" s="12" t="s">
        <v>1353</v>
      </c>
      <c r="I3446" s="12" t="s">
        <v>980</v>
      </c>
      <c r="K3446" s="16">
        <v>26.43</v>
      </c>
      <c r="L3446" s="16">
        <v>40.26</v>
      </c>
      <c r="M3446" s="16">
        <v>37.35</v>
      </c>
    </row>
    <row r="3447" spans="1:13" outlineLevel="3" x14ac:dyDescent="0.2">
      <c r="B3447" s="4" t="str">
        <f>"0015710030"</f>
        <v>0015710030</v>
      </c>
      <c r="C3447" s="5" t="str">
        <f>"443615"</f>
        <v>443615</v>
      </c>
      <c r="D3447" s="12" t="s">
        <v>1354</v>
      </c>
      <c r="E3447" s="14" t="s">
        <v>1356</v>
      </c>
      <c r="F3447" s="12" t="s">
        <v>441</v>
      </c>
      <c r="G3447" s="15">
        <v>30</v>
      </c>
      <c r="H3447" s="12" t="s">
        <v>1353</v>
      </c>
      <c r="I3447" s="12" t="s">
        <v>70</v>
      </c>
      <c r="K3447" s="16">
        <v>24.57</v>
      </c>
      <c r="L3447" s="16">
        <v>37.5</v>
      </c>
      <c r="M3447" s="16">
        <v>37.35</v>
      </c>
    </row>
    <row r="3448" spans="1:13" outlineLevel="3" x14ac:dyDescent="0.2">
      <c r="B3448" s="4" t="str">
        <f>"0015710030"</f>
        <v>0015710030</v>
      </c>
      <c r="C3448" s="5" t="str">
        <f>"416799"</f>
        <v>416799</v>
      </c>
      <c r="D3448" s="12" t="s">
        <v>1355</v>
      </c>
      <c r="E3448" s="14" t="s">
        <v>1356</v>
      </c>
      <c r="F3448" s="12" t="s">
        <v>441</v>
      </c>
      <c r="G3448" s="15">
        <v>30</v>
      </c>
      <c r="H3448" s="12" t="s">
        <v>1353</v>
      </c>
      <c r="I3448" s="12" t="s">
        <v>11</v>
      </c>
      <c r="K3448" s="16">
        <v>23.46</v>
      </c>
      <c r="L3448" s="16">
        <v>35.85</v>
      </c>
      <c r="M3448" s="16">
        <v>37.35</v>
      </c>
    </row>
    <row r="3449" spans="1:13" outlineLevel="2" x14ac:dyDescent="0.2"/>
    <row r="3450" spans="1:13" outlineLevel="3" x14ac:dyDescent="0.2">
      <c r="B3450" s="4" t="str">
        <f>"0015720030"</f>
        <v>0015720030</v>
      </c>
      <c r="C3450" s="5" t="str">
        <f>"012326"</f>
        <v>012326</v>
      </c>
      <c r="D3450" s="12" t="s">
        <v>1351</v>
      </c>
      <c r="E3450" s="14" t="s">
        <v>1357</v>
      </c>
      <c r="F3450" s="12" t="s">
        <v>441</v>
      </c>
      <c r="G3450" s="15">
        <v>30</v>
      </c>
      <c r="H3450" s="12" t="s">
        <v>1353</v>
      </c>
      <c r="I3450" s="12" t="s">
        <v>980</v>
      </c>
      <c r="K3450" s="16">
        <v>34</v>
      </c>
      <c r="L3450" s="16">
        <v>51.5</v>
      </c>
      <c r="M3450" s="16">
        <v>47.25</v>
      </c>
    </row>
    <row r="3451" spans="1:13" outlineLevel="3" x14ac:dyDescent="0.2">
      <c r="B3451" s="4" t="str">
        <f>"0015720030"</f>
        <v>0015720030</v>
      </c>
      <c r="C3451" s="5" t="str">
        <f>"103599"</f>
        <v>103599</v>
      </c>
      <c r="D3451" s="12" t="s">
        <v>1354</v>
      </c>
      <c r="E3451" s="14" t="s">
        <v>1357</v>
      </c>
      <c r="F3451" s="12" t="s">
        <v>441</v>
      </c>
      <c r="G3451" s="15">
        <v>30</v>
      </c>
      <c r="H3451" s="12" t="s">
        <v>1353</v>
      </c>
      <c r="I3451" s="12" t="s">
        <v>70</v>
      </c>
      <c r="K3451" s="16">
        <v>31.31</v>
      </c>
      <c r="L3451" s="16">
        <v>47.51</v>
      </c>
      <c r="M3451" s="16">
        <v>47.25</v>
      </c>
    </row>
    <row r="3452" spans="1:13" outlineLevel="3" x14ac:dyDescent="0.2">
      <c r="B3452" s="4" t="str">
        <f>"0015720030"</f>
        <v>0015720030</v>
      </c>
      <c r="C3452" s="5" t="str">
        <f>"429473"</f>
        <v>429473</v>
      </c>
      <c r="D3452" s="12" t="s">
        <v>1355</v>
      </c>
      <c r="E3452" s="14" t="s">
        <v>1357</v>
      </c>
      <c r="F3452" s="12" t="s">
        <v>441</v>
      </c>
      <c r="G3452" s="15">
        <v>30</v>
      </c>
      <c r="H3452" s="12" t="s">
        <v>1353</v>
      </c>
      <c r="I3452" s="12" t="s">
        <v>11</v>
      </c>
      <c r="K3452" s="16">
        <v>29.79</v>
      </c>
      <c r="L3452" s="16">
        <v>45.25</v>
      </c>
      <c r="M3452" s="16">
        <v>47.25</v>
      </c>
    </row>
    <row r="3453" spans="1:13" outlineLevel="1" x14ac:dyDescent="0.2">
      <c r="A3453" s="3"/>
    </row>
    <row r="3454" spans="1:13" outlineLevel="2" x14ac:dyDescent="0.2">
      <c r="A3454" s="3" t="s">
        <v>1576</v>
      </c>
    </row>
    <row r="3455" spans="1:13" ht="33.75" outlineLevel="3" x14ac:dyDescent="0.2">
      <c r="B3455" s="4" t="str">
        <f t="shared" ref="B3455:B3460" si="110">"0005690030"</f>
        <v>0005690030</v>
      </c>
      <c r="C3455" s="5" t="str">
        <f>"454439"</f>
        <v>454439</v>
      </c>
      <c r="D3455" s="12" t="s">
        <v>698</v>
      </c>
      <c r="E3455" s="14" t="s">
        <v>111</v>
      </c>
      <c r="F3455" s="12" t="s">
        <v>3</v>
      </c>
      <c r="G3455" s="15">
        <v>28</v>
      </c>
      <c r="H3455" s="12" t="s">
        <v>693</v>
      </c>
      <c r="I3455" s="12" t="s">
        <v>240</v>
      </c>
      <c r="K3455" s="16">
        <v>45.95</v>
      </c>
      <c r="L3455" s="16">
        <v>69.25</v>
      </c>
      <c r="M3455" s="16">
        <v>6.75</v>
      </c>
    </row>
    <row r="3456" spans="1:13" ht="33.75" outlineLevel="3" x14ac:dyDescent="0.2">
      <c r="B3456" s="4" t="str">
        <f t="shared" si="110"/>
        <v>0005690030</v>
      </c>
      <c r="C3456" s="5" t="str">
        <f>"069343"</f>
        <v>069343</v>
      </c>
      <c r="D3456" s="12" t="s">
        <v>692</v>
      </c>
      <c r="E3456" s="14" t="s">
        <v>111</v>
      </c>
      <c r="F3456" s="12" t="s">
        <v>3</v>
      </c>
      <c r="G3456" s="15">
        <v>28</v>
      </c>
      <c r="H3456" s="12" t="s">
        <v>693</v>
      </c>
      <c r="I3456" s="12" t="s">
        <v>293</v>
      </c>
      <c r="J3456" s="2" t="s">
        <v>1400</v>
      </c>
      <c r="K3456" s="16">
        <v>3.29</v>
      </c>
      <c r="L3456" s="16">
        <v>5.25</v>
      </c>
      <c r="M3456" s="16">
        <v>6.75</v>
      </c>
    </row>
    <row r="3457" spans="2:13" ht="33.75" outlineLevel="3" x14ac:dyDescent="0.2">
      <c r="B3457" s="4" t="str">
        <f t="shared" si="110"/>
        <v>0005690030</v>
      </c>
      <c r="C3457" s="5" t="str">
        <f>"027270"</f>
        <v>027270</v>
      </c>
      <c r="D3457" s="12" t="s">
        <v>695</v>
      </c>
      <c r="E3457" s="14" t="s">
        <v>111</v>
      </c>
      <c r="F3457" s="12" t="s">
        <v>3</v>
      </c>
      <c r="G3457" s="15">
        <v>30</v>
      </c>
      <c r="H3457" s="12" t="s">
        <v>693</v>
      </c>
      <c r="I3457" s="12" t="s">
        <v>68</v>
      </c>
      <c r="K3457" s="16">
        <v>3.29</v>
      </c>
      <c r="L3457" s="16">
        <v>5.25</v>
      </c>
      <c r="M3457" s="16">
        <v>6.75</v>
      </c>
    </row>
    <row r="3458" spans="2:13" ht="33.75" outlineLevel="3" x14ac:dyDescent="0.2">
      <c r="B3458" s="4" t="str">
        <f t="shared" si="110"/>
        <v>0005690030</v>
      </c>
      <c r="C3458" s="5" t="str">
        <f>"135096"</f>
        <v>135096</v>
      </c>
      <c r="D3458" s="12" t="s">
        <v>696</v>
      </c>
      <c r="E3458" s="14" t="s">
        <v>111</v>
      </c>
      <c r="F3458" s="12" t="s">
        <v>3</v>
      </c>
      <c r="G3458" s="15">
        <v>30</v>
      </c>
      <c r="H3458" s="12" t="s">
        <v>693</v>
      </c>
      <c r="I3458" s="12" t="s">
        <v>30</v>
      </c>
      <c r="K3458" s="16">
        <v>3.29</v>
      </c>
      <c r="L3458" s="16">
        <v>5.25</v>
      </c>
      <c r="M3458" s="16">
        <v>6.75</v>
      </c>
    </row>
    <row r="3459" spans="2:13" ht="33.75" outlineLevel="3" x14ac:dyDescent="0.2">
      <c r="B3459" s="4" t="str">
        <f t="shared" si="110"/>
        <v>0005690030</v>
      </c>
      <c r="C3459" s="5" t="str">
        <f>"172120"</f>
        <v>172120</v>
      </c>
      <c r="D3459" s="12" t="s">
        <v>697</v>
      </c>
      <c r="E3459" s="14" t="s">
        <v>111</v>
      </c>
      <c r="F3459" s="12" t="s">
        <v>3</v>
      </c>
      <c r="G3459" s="15">
        <v>28</v>
      </c>
      <c r="H3459" s="12" t="s">
        <v>693</v>
      </c>
      <c r="I3459" s="12" t="s">
        <v>104</v>
      </c>
      <c r="K3459" s="16">
        <v>3.29</v>
      </c>
      <c r="L3459" s="16">
        <v>5.25</v>
      </c>
      <c r="M3459" s="16">
        <v>6.75</v>
      </c>
    </row>
    <row r="3460" spans="2:13" ht="33.75" outlineLevel="3" x14ac:dyDescent="0.2">
      <c r="B3460" s="4" t="str">
        <f t="shared" si="110"/>
        <v>0005690030</v>
      </c>
      <c r="C3460" s="5" t="str">
        <f>"119491"</f>
        <v>119491</v>
      </c>
      <c r="D3460" s="12" t="s">
        <v>694</v>
      </c>
      <c r="E3460" s="14" t="s">
        <v>111</v>
      </c>
      <c r="F3460" s="12" t="s">
        <v>3</v>
      </c>
      <c r="G3460" s="15">
        <v>28</v>
      </c>
      <c r="H3460" s="12" t="s">
        <v>693</v>
      </c>
      <c r="I3460" s="12" t="s">
        <v>79</v>
      </c>
      <c r="J3460" s="2" t="s">
        <v>1400</v>
      </c>
      <c r="K3460" s="16">
        <v>1.42</v>
      </c>
      <c r="L3460" s="16">
        <v>2.27</v>
      </c>
      <c r="M3460" s="16">
        <v>6.75</v>
      </c>
    </row>
    <row r="3461" spans="2:13" outlineLevel="2" x14ac:dyDescent="0.2"/>
    <row r="3462" spans="2:13" ht="33.75" outlineLevel="3" x14ac:dyDescent="0.2">
      <c r="B3462" s="4" t="str">
        <f t="shared" ref="B3462:B3468" si="111">"0005690100"</f>
        <v>0005690100</v>
      </c>
      <c r="C3462" s="5" t="str">
        <f>"454454"</f>
        <v>454454</v>
      </c>
      <c r="D3462" s="12" t="s">
        <v>698</v>
      </c>
      <c r="E3462" s="14" t="s">
        <v>111</v>
      </c>
      <c r="F3462" s="12" t="s">
        <v>3</v>
      </c>
      <c r="G3462" s="15">
        <v>98</v>
      </c>
      <c r="H3462" s="12" t="s">
        <v>693</v>
      </c>
      <c r="I3462" s="12" t="s">
        <v>240</v>
      </c>
      <c r="K3462" s="16">
        <v>150.75</v>
      </c>
      <c r="L3462" s="16">
        <v>207.89</v>
      </c>
      <c r="M3462" s="16">
        <v>7.39</v>
      </c>
    </row>
    <row r="3463" spans="2:13" ht="33.75" outlineLevel="3" x14ac:dyDescent="0.2">
      <c r="B3463" s="4" t="str">
        <f t="shared" si="111"/>
        <v>0005690100</v>
      </c>
      <c r="C3463" s="5" t="str">
        <f>"069365"</f>
        <v>069365</v>
      </c>
      <c r="D3463" s="12" t="s">
        <v>692</v>
      </c>
      <c r="E3463" s="14" t="s">
        <v>111</v>
      </c>
      <c r="F3463" s="12" t="s">
        <v>3</v>
      </c>
      <c r="G3463" s="15">
        <v>98</v>
      </c>
      <c r="H3463" s="12" t="s">
        <v>693</v>
      </c>
      <c r="I3463" s="12" t="s">
        <v>293</v>
      </c>
      <c r="J3463" s="2" t="s">
        <v>1400</v>
      </c>
      <c r="K3463" s="16">
        <v>3.69</v>
      </c>
      <c r="L3463" s="16">
        <v>5.89</v>
      </c>
      <c r="M3463" s="16">
        <v>7.39</v>
      </c>
    </row>
    <row r="3464" spans="2:13" ht="33.75" outlineLevel="3" x14ac:dyDescent="0.2">
      <c r="B3464" s="4" t="str">
        <f t="shared" si="111"/>
        <v>0005690100</v>
      </c>
      <c r="C3464" s="5" t="str">
        <f>"027281"</f>
        <v>027281</v>
      </c>
      <c r="D3464" s="12" t="s">
        <v>695</v>
      </c>
      <c r="E3464" s="14" t="s">
        <v>111</v>
      </c>
      <c r="F3464" s="12" t="s">
        <v>3</v>
      </c>
      <c r="G3464" s="15">
        <v>100</v>
      </c>
      <c r="H3464" s="12" t="s">
        <v>693</v>
      </c>
      <c r="I3464" s="12" t="s">
        <v>68</v>
      </c>
      <c r="K3464" s="16">
        <v>3.69</v>
      </c>
      <c r="L3464" s="16">
        <v>5.89</v>
      </c>
      <c r="M3464" s="16">
        <v>7.39</v>
      </c>
    </row>
    <row r="3465" spans="2:13" ht="33.75" outlineLevel="3" x14ac:dyDescent="0.2">
      <c r="B3465" s="4" t="str">
        <f t="shared" si="111"/>
        <v>0005690100</v>
      </c>
      <c r="C3465" s="5" t="str">
        <f>"135107"</f>
        <v>135107</v>
      </c>
      <c r="D3465" s="12" t="s">
        <v>696</v>
      </c>
      <c r="E3465" s="14" t="s">
        <v>111</v>
      </c>
      <c r="F3465" s="12" t="s">
        <v>3</v>
      </c>
      <c r="G3465" s="15">
        <v>100</v>
      </c>
      <c r="H3465" s="12" t="s">
        <v>693</v>
      </c>
      <c r="I3465" s="12" t="s">
        <v>30</v>
      </c>
      <c r="K3465" s="16">
        <v>3.69</v>
      </c>
      <c r="L3465" s="16">
        <v>5.89</v>
      </c>
      <c r="M3465" s="16">
        <v>7.39</v>
      </c>
    </row>
    <row r="3466" spans="2:13" ht="33.75" outlineLevel="3" x14ac:dyDescent="0.2">
      <c r="B3466" s="4" t="str">
        <f t="shared" si="111"/>
        <v>0005690100</v>
      </c>
      <c r="C3466" s="5" t="str">
        <f>"501794"</f>
        <v>501794</v>
      </c>
      <c r="D3466" s="12" t="s">
        <v>699</v>
      </c>
      <c r="E3466" s="14" t="s">
        <v>111</v>
      </c>
      <c r="F3466" s="12" t="s">
        <v>3</v>
      </c>
      <c r="G3466" s="15">
        <v>98</v>
      </c>
      <c r="H3466" s="12" t="s">
        <v>693</v>
      </c>
      <c r="I3466" s="12" t="s">
        <v>700</v>
      </c>
      <c r="K3466" s="16">
        <v>3.69</v>
      </c>
      <c r="L3466" s="16">
        <v>5.89</v>
      </c>
      <c r="M3466" s="16">
        <v>7.39</v>
      </c>
    </row>
    <row r="3467" spans="2:13" ht="33.75" outlineLevel="3" x14ac:dyDescent="0.2">
      <c r="B3467" s="4" t="str">
        <f t="shared" si="111"/>
        <v>0005690100</v>
      </c>
      <c r="C3467" s="5" t="str">
        <f>"554126"</f>
        <v>554126</v>
      </c>
      <c r="D3467" s="12" t="s">
        <v>697</v>
      </c>
      <c r="E3467" s="14" t="s">
        <v>111</v>
      </c>
      <c r="F3467" s="12" t="s">
        <v>3</v>
      </c>
      <c r="G3467" s="15">
        <v>98</v>
      </c>
      <c r="H3467" s="12" t="s">
        <v>693</v>
      </c>
      <c r="I3467" s="12" t="s">
        <v>104</v>
      </c>
      <c r="K3467" s="16">
        <v>3.69</v>
      </c>
      <c r="L3467" s="16">
        <v>5.89</v>
      </c>
      <c r="M3467" s="16">
        <v>7.39</v>
      </c>
    </row>
    <row r="3468" spans="2:13" ht="33.75" outlineLevel="3" x14ac:dyDescent="0.2">
      <c r="B3468" s="4" t="str">
        <f t="shared" si="111"/>
        <v>0005690100</v>
      </c>
      <c r="C3468" s="5" t="str">
        <f>"446712"</f>
        <v>446712</v>
      </c>
      <c r="D3468" s="12" t="s">
        <v>694</v>
      </c>
      <c r="E3468" s="14" t="s">
        <v>111</v>
      </c>
      <c r="F3468" s="12" t="s">
        <v>3</v>
      </c>
      <c r="G3468" s="15">
        <v>98</v>
      </c>
      <c r="H3468" s="12" t="s">
        <v>693</v>
      </c>
      <c r="I3468" s="12" t="s">
        <v>79</v>
      </c>
      <c r="J3468" s="2" t="s">
        <v>1400</v>
      </c>
      <c r="K3468" s="16">
        <v>2.75</v>
      </c>
      <c r="L3468" s="16">
        <v>4.3899999999999997</v>
      </c>
      <c r="M3468" s="16">
        <v>7.39</v>
      </c>
    </row>
    <row r="3469" spans="2:13" outlineLevel="2" x14ac:dyDescent="0.2"/>
    <row r="3470" spans="2:13" ht="33.75" outlineLevel="3" x14ac:dyDescent="0.2">
      <c r="B3470" s="4" t="str">
        <f>"0005700030"</f>
        <v>0005700030</v>
      </c>
      <c r="C3470" s="5" t="str">
        <f>"454678"</f>
        <v>454678</v>
      </c>
      <c r="D3470" s="12" t="s">
        <v>698</v>
      </c>
      <c r="E3470" s="14" t="s">
        <v>82</v>
      </c>
      <c r="F3470" s="12" t="s">
        <v>3</v>
      </c>
      <c r="G3470" s="15">
        <v>28</v>
      </c>
      <c r="H3470" s="12" t="s">
        <v>693</v>
      </c>
      <c r="I3470" s="12" t="s">
        <v>240</v>
      </c>
      <c r="K3470" s="16">
        <v>51.34</v>
      </c>
      <c r="L3470" s="16">
        <v>76.69</v>
      </c>
      <c r="M3470" s="16">
        <v>5.26</v>
      </c>
    </row>
    <row r="3471" spans="2:13" ht="33.75" outlineLevel="3" x14ac:dyDescent="0.2">
      <c r="B3471" s="4" t="str">
        <f>"0005700030"</f>
        <v>0005700030</v>
      </c>
      <c r="C3471" s="5" t="str">
        <f>"069376"</f>
        <v>069376</v>
      </c>
      <c r="D3471" s="12" t="s">
        <v>692</v>
      </c>
      <c r="E3471" s="14" t="s">
        <v>82</v>
      </c>
      <c r="F3471" s="12" t="s">
        <v>3</v>
      </c>
      <c r="G3471" s="15">
        <v>28</v>
      </c>
      <c r="H3471" s="12" t="s">
        <v>693</v>
      </c>
      <c r="I3471" s="12" t="s">
        <v>293</v>
      </c>
      <c r="K3471" s="16">
        <v>2.36</v>
      </c>
      <c r="L3471" s="16">
        <v>3.76</v>
      </c>
      <c r="M3471" s="16">
        <v>5.26</v>
      </c>
    </row>
    <row r="3472" spans="2:13" ht="33.75" outlineLevel="3" x14ac:dyDescent="0.2">
      <c r="B3472" s="4" t="str">
        <f>"0005700030"</f>
        <v>0005700030</v>
      </c>
      <c r="C3472" s="5" t="str">
        <f>"121492"</f>
        <v>121492</v>
      </c>
      <c r="D3472" s="12" t="s">
        <v>697</v>
      </c>
      <c r="E3472" s="14" t="s">
        <v>82</v>
      </c>
      <c r="F3472" s="12" t="s">
        <v>3</v>
      </c>
      <c r="G3472" s="15">
        <v>28</v>
      </c>
      <c r="H3472" s="12" t="s">
        <v>693</v>
      </c>
      <c r="I3472" s="12" t="s">
        <v>104</v>
      </c>
      <c r="K3472" s="16">
        <v>2.36</v>
      </c>
      <c r="L3472" s="16">
        <v>3.76</v>
      </c>
      <c r="M3472" s="16">
        <v>5.26</v>
      </c>
    </row>
    <row r="3473" spans="1:13" ht="33.75" outlineLevel="3" x14ac:dyDescent="0.2">
      <c r="B3473" s="4" t="str">
        <f>"0005700030"</f>
        <v>0005700030</v>
      </c>
      <c r="C3473" s="5" t="str">
        <f>"135118"</f>
        <v>135118</v>
      </c>
      <c r="D3473" s="12" t="s">
        <v>696</v>
      </c>
      <c r="E3473" s="14" t="s">
        <v>82</v>
      </c>
      <c r="F3473" s="12" t="s">
        <v>3</v>
      </c>
      <c r="G3473" s="15">
        <v>30</v>
      </c>
      <c r="H3473" s="12" t="s">
        <v>693</v>
      </c>
      <c r="I3473" s="12" t="s">
        <v>30</v>
      </c>
      <c r="K3473" s="16">
        <v>2.36</v>
      </c>
      <c r="L3473" s="16">
        <v>3.76</v>
      </c>
      <c r="M3473" s="16">
        <v>5.26</v>
      </c>
    </row>
    <row r="3474" spans="1:13" ht="33.75" outlineLevel="3" x14ac:dyDescent="0.2">
      <c r="B3474" s="4" t="str">
        <f>"0005700030"</f>
        <v>0005700030</v>
      </c>
      <c r="C3474" s="5" t="str">
        <f>"579777"</f>
        <v>579777</v>
      </c>
      <c r="D3474" s="12" t="s">
        <v>694</v>
      </c>
      <c r="E3474" s="14" t="s">
        <v>82</v>
      </c>
      <c r="F3474" s="12" t="s">
        <v>3</v>
      </c>
      <c r="G3474" s="15">
        <v>28</v>
      </c>
      <c r="H3474" s="12" t="s">
        <v>693</v>
      </c>
      <c r="I3474" s="12" t="s">
        <v>79</v>
      </c>
      <c r="J3474" s="2" t="s">
        <v>1400</v>
      </c>
      <c r="K3474" s="16">
        <v>1.42</v>
      </c>
      <c r="L3474" s="16">
        <v>2.27</v>
      </c>
      <c r="M3474" s="16">
        <v>5.26</v>
      </c>
    </row>
    <row r="3475" spans="1:13" outlineLevel="2" x14ac:dyDescent="0.2"/>
    <row r="3476" spans="1:13" ht="33.75" outlineLevel="3" x14ac:dyDescent="0.2">
      <c r="B3476" s="4" t="str">
        <f t="shared" ref="B3476:B3483" si="112">"0005700100"</f>
        <v>0005700100</v>
      </c>
      <c r="C3476" s="5" t="str">
        <f>"454686"</f>
        <v>454686</v>
      </c>
      <c r="D3476" s="12" t="s">
        <v>698</v>
      </c>
      <c r="E3476" s="14" t="s">
        <v>82</v>
      </c>
      <c r="F3476" s="12" t="s">
        <v>3</v>
      </c>
      <c r="G3476" s="15">
        <v>98</v>
      </c>
      <c r="H3476" s="12" t="s">
        <v>693</v>
      </c>
      <c r="I3476" s="12" t="s">
        <v>240</v>
      </c>
      <c r="K3476" s="16">
        <v>179.7</v>
      </c>
      <c r="L3476" s="16">
        <v>244.52</v>
      </c>
      <c r="M3476" s="16">
        <v>7.39</v>
      </c>
    </row>
    <row r="3477" spans="1:13" ht="33.75" outlineLevel="3" x14ac:dyDescent="0.2">
      <c r="B3477" s="4" t="str">
        <f t="shared" si="112"/>
        <v>0005700100</v>
      </c>
      <c r="C3477" s="5" t="str">
        <f>"069398"</f>
        <v>069398</v>
      </c>
      <c r="D3477" s="12" t="s">
        <v>692</v>
      </c>
      <c r="E3477" s="14" t="s">
        <v>82</v>
      </c>
      <c r="F3477" s="12" t="s">
        <v>3</v>
      </c>
      <c r="G3477" s="15">
        <v>98</v>
      </c>
      <c r="H3477" s="12" t="s">
        <v>693</v>
      </c>
      <c r="I3477" s="12" t="s">
        <v>293</v>
      </c>
      <c r="J3477" s="2" t="s">
        <v>1400</v>
      </c>
      <c r="K3477" s="16">
        <v>3.69</v>
      </c>
      <c r="L3477" s="16">
        <v>5.89</v>
      </c>
      <c r="M3477" s="16">
        <v>7.39</v>
      </c>
    </row>
    <row r="3478" spans="1:13" ht="33.75" outlineLevel="3" x14ac:dyDescent="0.2">
      <c r="B3478" s="4" t="str">
        <f t="shared" si="112"/>
        <v>0005700100</v>
      </c>
      <c r="C3478" s="5" t="str">
        <f>"027305"</f>
        <v>027305</v>
      </c>
      <c r="D3478" s="12" t="s">
        <v>695</v>
      </c>
      <c r="E3478" s="14" t="s">
        <v>82</v>
      </c>
      <c r="F3478" s="12" t="s">
        <v>3</v>
      </c>
      <c r="G3478" s="15">
        <v>100</v>
      </c>
      <c r="H3478" s="12" t="s">
        <v>693</v>
      </c>
      <c r="I3478" s="12" t="s">
        <v>68</v>
      </c>
      <c r="K3478" s="16">
        <v>3.69</v>
      </c>
      <c r="L3478" s="16">
        <v>5.89</v>
      </c>
      <c r="M3478" s="16">
        <v>7.39</v>
      </c>
    </row>
    <row r="3479" spans="1:13" ht="33.75" outlineLevel="3" x14ac:dyDescent="0.2">
      <c r="B3479" s="4" t="str">
        <f t="shared" si="112"/>
        <v>0005700100</v>
      </c>
      <c r="C3479" s="5" t="str">
        <f>"032637"</f>
        <v>032637</v>
      </c>
      <c r="D3479" s="12" t="s">
        <v>695</v>
      </c>
      <c r="E3479" s="14" t="s">
        <v>82</v>
      </c>
      <c r="F3479" s="12" t="s">
        <v>3</v>
      </c>
      <c r="G3479" s="15">
        <v>100</v>
      </c>
      <c r="H3479" s="12" t="s">
        <v>693</v>
      </c>
      <c r="I3479" s="12" t="s">
        <v>68</v>
      </c>
      <c r="K3479" s="16">
        <v>3.69</v>
      </c>
      <c r="L3479" s="16">
        <v>5.89</v>
      </c>
      <c r="M3479" s="16">
        <v>7.39</v>
      </c>
    </row>
    <row r="3480" spans="1:13" ht="33.75" outlineLevel="3" x14ac:dyDescent="0.2">
      <c r="B3480" s="4" t="str">
        <f t="shared" si="112"/>
        <v>0005700100</v>
      </c>
      <c r="C3480" s="5" t="str">
        <f>"135130"</f>
        <v>135130</v>
      </c>
      <c r="D3480" s="12" t="s">
        <v>696</v>
      </c>
      <c r="E3480" s="14" t="s">
        <v>82</v>
      </c>
      <c r="F3480" s="12" t="s">
        <v>3</v>
      </c>
      <c r="G3480" s="15">
        <v>100</v>
      </c>
      <c r="H3480" s="12" t="s">
        <v>693</v>
      </c>
      <c r="I3480" s="12" t="s">
        <v>30</v>
      </c>
      <c r="K3480" s="16">
        <v>3.69</v>
      </c>
      <c r="L3480" s="16">
        <v>5.89</v>
      </c>
      <c r="M3480" s="16">
        <v>7.39</v>
      </c>
    </row>
    <row r="3481" spans="1:13" ht="33.75" outlineLevel="3" x14ac:dyDescent="0.2">
      <c r="B3481" s="4" t="str">
        <f t="shared" si="112"/>
        <v>0005700100</v>
      </c>
      <c r="C3481" s="5" t="str">
        <f>"150624"</f>
        <v>150624</v>
      </c>
      <c r="D3481" s="12" t="s">
        <v>699</v>
      </c>
      <c r="E3481" s="14" t="s">
        <v>82</v>
      </c>
      <c r="F3481" s="12" t="s">
        <v>3</v>
      </c>
      <c r="G3481" s="15">
        <v>98</v>
      </c>
      <c r="H3481" s="12" t="s">
        <v>693</v>
      </c>
      <c r="I3481" s="12" t="s">
        <v>700</v>
      </c>
      <c r="K3481" s="16">
        <v>3.69</v>
      </c>
      <c r="L3481" s="16">
        <v>5.89</v>
      </c>
      <c r="M3481" s="16">
        <v>7.39</v>
      </c>
    </row>
    <row r="3482" spans="1:13" ht="33.75" outlineLevel="3" x14ac:dyDescent="0.2">
      <c r="B3482" s="4" t="str">
        <f t="shared" si="112"/>
        <v>0005700100</v>
      </c>
      <c r="C3482" s="5" t="str">
        <f>"518715"</f>
        <v>518715</v>
      </c>
      <c r="D3482" s="12" t="s">
        <v>697</v>
      </c>
      <c r="E3482" s="14" t="s">
        <v>82</v>
      </c>
      <c r="F3482" s="12" t="s">
        <v>3</v>
      </c>
      <c r="G3482" s="15">
        <v>98</v>
      </c>
      <c r="H3482" s="12" t="s">
        <v>693</v>
      </c>
      <c r="I3482" s="12" t="s">
        <v>104</v>
      </c>
      <c r="K3482" s="16">
        <v>3.69</v>
      </c>
      <c r="L3482" s="16">
        <v>5.89</v>
      </c>
      <c r="M3482" s="16">
        <v>7.39</v>
      </c>
    </row>
    <row r="3483" spans="1:13" ht="33.75" outlineLevel="3" x14ac:dyDescent="0.2">
      <c r="B3483" s="4" t="str">
        <f t="shared" si="112"/>
        <v>0005700100</v>
      </c>
      <c r="C3483" s="5" t="str">
        <f>"590881"</f>
        <v>590881</v>
      </c>
      <c r="D3483" s="12" t="s">
        <v>694</v>
      </c>
      <c r="E3483" s="14" t="s">
        <v>82</v>
      </c>
      <c r="F3483" s="12" t="s">
        <v>3</v>
      </c>
      <c r="G3483" s="15">
        <v>98</v>
      </c>
      <c r="H3483" s="12" t="s">
        <v>693</v>
      </c>
      <c r="I3483" s="12" t="s">
        <v>79</v>
      </c>
      <c r="J3483" s="2" t="s">
        <v>1400</v>
      </c>
      <c r="K3483" s="16">
        <v>2.75</v>
      </c>
      <c r="L3483" s="16">
        <v>4.3899999999999997</v>
      </c>
      <c r="M3483" s="16">
        <v>7.39</v>
      </c>
    </row>
    <row r="3484" spans="1:13" outlineLevel="1" x14ac:dyDescent="0.2">
      <c r="A3484" s="3"/>
    </row>
    <row r="3485" spans="1:13" outlineLevel="2" x14ac:dyDescent="0.2">
      <c r="A3485" s="3" t="s">
        <v>1577</v>
      </c>
    </row>
    <row r="3486" spans="1:13" outlineLevel="3" x14ac:dyDescent="0.2">
      <c r="B3486" s="4" t="str">
        <f t="shared" ref="B3486:B3491" si="113">"0004000030"</f>
        <v>0004000030</v>
      </c>
      <c r="C3486" s="5" t="str">
        <f>"528701"</f>
        <v>528701</v>
      </c>
      <c r="D3486" s="12" t="s">
        <v>505</v>
      </c>
      <c r="E3486" s="14" t="s">
        <v>234</v>
      </c>
      <c r="F3486" s="12" t="s">
        <v>216</v>
      </c>
      <c r="G3486" s="15">
        <v>28</v>
      </c>
      <c r="H3486" s="12" t="s">
        <v>506</v>
      </c>
      <c r="I3486" s="12" t="s">
        <v>124</v>
      </c>
      <c r="J3486" s="2" t="s">
        <v>1400</v>
      </c>
      <c r="K3486" s="16">
        <v>16.86</v>
      </c>
      <c r="L3486" s="16">
        <v>26.05</v>
      </c>
      <c r="M3486" s="16">
        <v>26.05</v>
      </c>
    </row>
    <row r="3487" spans="1:13" ht="22.5" outlineLevel="3" x14ac:dyDescent="0.2">
      <c r="B3487" s="4" t="str">
        <f t="shared" si="113"/>
        <v>0004000030</v>
      </c>
      <c r="C3487" s="5" t="str">
        <f>"047590"</f>
        <v>047590</v>
      </c>
      <c r="D3487" s="12" t="s">
        <v>507</v>
      </c>
      <c r="E3487" s="14" t="s">
        <v>234</v>
      </c>
      <c r="F3487" s="12" t="s">
        <v>216</v>
      </c>
      <c r="G3487" s="15">
        <v>28</v>
      </c>
      <c r="H3487" s="12" t="s">
        <v>506</v>
      </c>
      <c r="I3487" s="12" t="s">
        <v>104</v>
      </c>
      <c r="K3487" s="16">
        <v>16.86</v>
      </c>
      <c r="L3487" s="16">
        <v>26.05</v>
      </c>
      <c r="M3487" s="16">
        <v>26.05</v>
      </c>
    </row>
    <row r="3488" spans="1:13" ht="22.5" outlineLevel="3" x14ac:dyDescent="0.2">
      <c r="B3488" s="4" t="str">
        <f t="shared" si="113"/>
        <v>0004000030</v>
      </c>
      <c r="C3488" s="5" t="str">
        <f>"081681"</f>
        <v>081681</v>
      </c>
      <c r="D3488" s="12" t="s">
        <v>508</v>
      </c>
      <c r="E3488" s="14" t="s">
        <v>234</v>
      </c>
      <c r="F3488" s="12" t="s">
        <v>216</v>
      </c>
      <c r="G3488" s="15">
        <v>28</v>
      </c>
      <c r="H3488" s="12" t="s">
        <v>506</v>
      </c>
      <c r="I3488" s="12" t="s">
        <v>509</v>
      </c>
      <c r="K3488" s="16">
        <v>16.86</v>
      </c>
      <c r="L3488" s="16">
        <v>26.05</v>
      </c>
      <c r="M3488" s="16">
        <v>26.05</v>
      </c>
    </row>
    <row r="3489" spans="2:13" ht="22.5" outlineLevel="3" x14ac:dyDescent="0.2">
      <c r="B3489" s="4" t="str">
        <f t="shared" si="113"/>
        <v>0004000030</v>
      </c>
      <c r="C3489" s="5" t="str">
        <f>"082776"</f>
        <v>082776</v>
      </c>
      <c r="D3489" s="12" t="s">
        <v>510</v>
      </c>
      <c r="E3489" s="14" t="s">
        <v>234</v>
      </c>
      <c r="F3489" s="12" t="s">
        <v>216</v>
      </c>
      <c r="G3489" s="15">
        <v>28</v>
      </c>
      <c r="H3489" s="12" t="s">
        <v>506</v>
      </c>
      <c r="I3489" s="12" t="s">
        <v>511</v>
      </c>
      <c r="K3489" s="16">
        <v>16.86</v>
      </c>
      <c r="L3489" s="16">
        <v>26.05</v>
      </c>
      <c r="M3489" s="16">
        <v>26.05</v>
      </c>
    </row>
    <row r="3490" spans="2:13" outlineLevel="3" x14ac:dyDescent="0.2">
      <c r="B3490" s="4" t="str">
        <f t="shared" si="113"/>
        <v>0004000030</v>
      </c>
      <c r="C3490" s="5" t="str">
        <f>"398807"</f>
        <v>398807</v>
      </c>
      <c r="D3490" s="12" t="s">
        <v>512</v>
      </c>
      <c r="E3490" s="14" t="s">
        <v>234</v>
      </c>
      <c r="F3490" s="12" t="s">
        <v>216</v>
      </c>
      <c r="G3490" s="15">
        <v>28</v>
      </c>
      <c r="H3490" s="12" t="s">
        <v>506</v>
      </c>
      <c r="I3490" s="12" t="s">
        <v>247</v>
      </c>
      <c r="K3490" s="16">
        <v>16.86</v>
      </c>
      <c r="L3490" s="16">
        <v>26.05</v>
      </c>
      <c r="M3490" s="16">
        <v>26.05</v>
      </c>
    </row>
    <row r="3491" spans="2:13" ht="22.5" outlineLevel="3" x14ac:dyDescent="0.2">
      <c r="B3491" s="4" t="str">
        <f t="shared" si="113"/>
        <v>0004000030</v>
      </c>
      <c r="C3491" s="5" t="str">
        <f>"586366"</f>
        <v>586366</v>
      </c>
      <c r="D3491" s="12" t="s">
        <v>513</v>
      </c>
      <c r="E3491" s="14" t="s">
        <v>234</v>
      </c>
      <c r="F3491" s="12" t="s">
        <v>216</v>
      </c>
      <c r="G3491" s="15">
        <v>30</v>
      </c>
      <c r="H3491" s="12" t="s">
        <v>506</v>
      </c>
      <c r="I3491" s="12" t="s">
        <v>60</v>
      </c>
      <c r="K3491" s="16">
        <v>15.85</v>
      </c>
      <c r="L3491" s="16">
        <v>24.55</v>
      </c>
      <c r="M3491" s="16">
        <v>26.05</v>
      </c>
    </row>
    <row r="3492" spans="2:13" outlineLevel="2" x14ac:dyDescent="0.2"/>
    <row r="3493" spans="2:13" ht="22.5" outlineLevel="3" x14ac:dyDescent="0.2">
      <c r="B3493" s="4" t="str">
        <f>"0004000112"</f>
        <v>0004000112</v>
      </c>
      <c r="C3493" s="5" t="str">
        <f>"396482"</f>
        <v>396482</v>
      </c>
      <c r="D3493" s="12" t="s">
        <v>513</v>
      </c>
      <c r="E3493" s="14" t="s">
        <v>234</v>
      </c>
      <c r="F3493" s="12" t="s">
        <v>216</v>
      </c>
      <c r="G3493" s="15">
        <v>112</v>
      </c>
      <c r="H3493" s="12" t="s">
        <v>506</v>
      </c>
      <c r="I3493" s="12" t="s">
        <v>60</v>
      </c>
      <c r="K3493" s="16">
        <v>45</v>
      </c>
      <c r="L3493" s="16">
        <v>67.84</v>
      </c>
      <c r="M3493" s="16">
        <v>69.84</v>
      </c>
    </row>
    <row r="3494" spans="2:13" outlineLevel="2" x14ac:dyDescent="0.2"/>
    <row r="3495" spans="2:13" outlineLevel="3" x14ac:dyDescent="0.2">
      <c r="B3495" s="4" t="str">
        <f>"0004020030"</f>
        <v>0004020030</v>
      </c>
      <c r="C3495" s="5" t="str">
        <f>"419681"</f>
        <v>419681</v>
      </c>
      <c r="D3495" s="12" t="s">
        <v>505</v>
      </c>
      <c r="E3495" s="14" t="s">
        <v>514</v>
      </c>
      <c r="F3495" s="12" t="s">
        <v>216</v>
      </c>
      <c r="G3495" s="15">
        <v>28</v>
      </c>
      <c r="H3495" s="12" t="s">
        <v>506</v>
      </c>
      <c r="I3495" s="12" t="s">
        <v>124</v>
      </c>
      <c r="J3495" s="2" t="s">
        <v>1400</v>
      </c>
      <c r="K3495" s="16">
        <v>20.010000000000002</v>
      </c>
      <c r="L3495" s="16">
        <v>30.72</v>
      </c>
      <c r="M3495" s="16">
        <v>32.22</v>
      </c>
    </row>
    <row r="3496" spans="2:13" ht="22.5" outlineLevel="3" x14ac:dyDescent="0.2">
      <c r="B3496" s="4" t="str">
        <f>"0004020030"</f>
        <v>0004020030</v>
      </c>
      <c r="C3496" s="5" t="str">
        <f>"047612"</f>
        <v>047612</v>
      </c>
      <c r="D3496" s="12" t="s">
        <v>507</v>
      </c>
      <c r="E3496" s="14" t="s">
        <v>514</v>
      </c>
      <c r="F3496" s="12" t="s">
        <v>216</v>
      </c>
      <c r="G3496" s="15">
        <v>28</v>
      </c>
      <c r="H3496" s="12" t="s">
        <v>506</v>
      </c>
      <c r="I3496" s="12" t="s">
        <v>104</v>
      </c>
      <c r="K3496" s="16">
        <v>20.010000000000002</v>
      </c>
      <c r="L3496" s="16">
        <v>30.72</v>
      </c>
      <c r="M3496" s="16">
        <v>32.22</v>
      </c>
    </row>
    <row r="3497" spans="2:13" ht="22.5" outlineLevel="3" x14ac:dyDescent="0.2">
      <c r="B3497" s="4" t="str">
        <f>"0004020030"</f>
        <v>0004020030</v>
      </c>
      <c r="C3497" s="5" t="str">
        <f>"081704"</f>
        <v>081704</v>
      </c>
      <c r="D3497" s="12" t="s">
        <v>508</v>
      </c>
      <c r="E3497" s="14" t="s">
        <v>514</v>
      </c>
      <c r="F3497" s="12" t="s">
        <v>216</v>
      </c>
      <c r="G3497" s="15">
        <v>28</v>
      </c>
      <c r="H3497" s="12" t="s">
        <v>506</v>
      </c>
      <c r="I3497" s="12" t="s">
        <v>509</v>
      </c>
      <c r="K3497" s="16">
        <v>20.010000000000002</v>
      </c>
      <c r="L3497" s="16">
        <v>30.72</v>
      </c>
      <c r="M3497" s="16">
        <v>32.22</v>
      </c>
    </row>
    <row r="3498" spans="2:13" ht="22.5" outlineLevel="3" x14ac:dyDescent="0.2">
      <c r="B3498" s="4" t="str">
        <f>"0004020030"</f>
        <v>0004020030</v>
      </c>
      <c r="C3498" s="5" t="str">
        <f>"083097"</f>
        <v>083097</v>
      </c>
      <c r="D3498" s="12" t="s">
        <v>510</v>
      </c>
      <c r="E3498" s="14" t="s">
        <v>514</v>
      </c>
      <c r="F3498" s="12" t="s">
        <v>216</v>
      </c>
      <c r="G3498" s="15">
        <v>28</v>
      </c>
      <c r="H3498" s="12" t="s">
        <v>506</v>
      </c>
      <c r="I3498" s="12" t="s">
        <v>511</v>
      </c>
      <c r="K3498" s="16">
        <v>20.010000000000002</v>
      </c>
      <c r="L3498" s="16">
        <v>30.72</v>
      </c>
      <c r="M3498" s="16">
        <v>32.22</v>
      </c>
    </row>
    <row r="3499" spans="2:13" outlineLevel="2" x14ac:dyDescent="0.2"/>
    <row r="3500" spans="2:13" ht="22.5" outlineLevel="3" x14ac:dyDescent="0.2">
      <c r="B3500" s="4" t="str">
        <f t="shared" ref="B3500:B3505" si="114">"0004020112"</f>
        <v>0004020112</v>
      </c>
      <c r="C3500" s="5" t="str">
        <f>"083204"</f>
        <v>083204</v>
      </c>
      <c r="D3500" s="12" t="s">
        <v>510</v>
      </c>
      <c r="E3500" s="14" t="s">
        <v>514</v>
      </c>
      <c r="F3500" s="12" t="s">
        <v>216</v>
      </c>
      <c r="G3500" s="15">
        <v>112</v>
      </c>
      <c r="H3500" s="12" t="s">
        <v>506</v>
      </c>
      <c r="I3500" s="12" t="s">
        <v>511</v>
      </c>
      <c r="K3500" s="16">
        <v>60.2</v>
      </c>
      <c r="L3500" s="16">
        <v>88.87</v>
      </c>
      <c r="M3500" s="16">
        <v>55.14</v>
      </c>
    </row>
    <row r="3501" spans="2:13" ht="22.5" outlineLevel="3" x14ac:dyDescent="0.2">
      <c r="B3501" s="4" t="str">
        <f t="shared" si="114"/>
        <v>0004020112</v>
      </c>
      <c r="C3501" s="5" t="str">
        <f>"047634"</f>
        <v>047634</v>
      </c>
      <c r="D3501" s="12" t="s">
        <v>507</v>
      </c>
      <c r="E3501" s="14" t="s">
        <v>514</v>
      </c>
      <c r="F3501" s="12" t="s">
        <v>216</v>
      </c>
      <c r="G3501" s="15">
        <v>112</v>
      </c>
      <c r="H3501" s="12" t="s">
        <v>506</v>
      </c>
      <c r="I3501" s="12" t="s">
        <v>104</v>
      </c>
      <c r="K3501" s="16">
        <v>36.450000000000003</v>
      </c>
      <c r="L3501" s="16">
        <v>55.14</v>
      </c>
      <c r="M3501" s="16">
        <v>55.14</v>
      </c>
    </row>
    <row r="3502" spans="2:13" ht="22.5" outlineLevel="3" x14ac:dyDescent="0.2">
      <c r="B3502" s="4" t="str">
        <f t="shared" si="114"/>
        <v>0004020112</v>
      </c>
      <c r="C3502" s="5" t="str">
        <f>"093901"</f>
        <v>093901</v>
      </c>
      <c r="D3502" s="12" t="s">
        <v>512</v>
      </c>
      <c r="E3502" s="14" t="s">
        <v>514</v>
      </c>
      <c r="F3502" s="12" t="s">
        <v>216</v>
      </c>
      <c r="G3502" s="15">
        <v>112</v>
      </c>
      <c r="H3502" s="12" t="s">
        <v>506</v>
      </c>
      <c r="I3502" s="12" t="s">
        <v>68</v>
      </c>
      <c r="K3502" s="16">
        <v>36.450000000000003</v>
      </c>
      <c r="L3502" s="16">
        <v>55.14</v>
      </c>
      <c r="M3502" s="16">
        <v>55.14</v>
      </c>
    </row>
    <row r="3503" spans="2:13" ht="22.5" outlineLevel="3" x14ac:dyDescent="0.2">
      <c r="B3503" s="4" t="str">
        <f t="shared" si="114"/>
        <v>0004020112</v>
      </c>
      <c r="C3503" s="5" t="str">
        <f>"481345"</f>
        <v>481345</v>
      </c>
      <c r="D3503" s="12" t="s">
        <v>508</v>
      </c>
      <c r="E3503" s="14" t="s">
        <v>514</v>
      </c>
      <c r="F3503" s="12" t="s">
        <v>216</v>
      </c>
      <c r="G3503" s="15">
        <v>112</v>
      </c>
      <c r="H3503" s="12" t="s">
        <v>506</v>
      </c>
      <c r="I3503" s="12" t="s">
        <v>509</v>
      </c>
      <c r="K3503" s="16">
        <v>36.450000000000003</v>
      </c>
      <c r="L3503" s="16">
        <v>55.14</v>
      </c>
      <c r="M3503" s="16">
        <v>55.14</v>
      </c>
    </row>
    <row r="3504" spans="2:13" outlineLevel="3" x14ac:dyDescent="0.2">
      <c r="B3504" s="4" t="str">
        <f t="shared" si="114"/>
        <v>0004020112</v>
      </c>
      <c r="C3504" s="5" t="str">
        <f>"504371"</f>
        <v>504371</v>
      </c>
      <c r="D3504" s="12" t="s">
        <v>505</v>
      </c>
      <c r="E3504" s="14" t="s">
        <v>514</v>
      </c>
      <c r="F3504" s="12" t="s">
        <v>216</v>
      </c>
      <c r="G3504" s="15">
        <v>112</v>
      </c>
      <c r="H3504" s="12" t="s">
        <v>506</v>
      </c>
      <c r="I3504" s="12" t="s">
        <v>124</v>
      </c>
      <c r="K3504" s="16">
        <v>36.44</v>
      </c>
      <c r="L3504" s="16">
        <v>55.12</v>
      </c>
      <c r="M3504" s="16">
        <v>55.14</v>
      </c>
    </row>
    <row r="3505" spans="2:13" ht="22.5" outlineLevel="3" x14ac:dyDescent="0.2">
      <c r="B3505" s="4" t="str">
        <f t="shared" si="114"/>
        <v>0004020112</v>
      </c>
      <c r="C3505" s="5" t="str">
        <f>"559512"</f>
        <v>559512</v>
      </c>
      <c r="D3505" s="12" t="s">
        <v>513</v>
      </c>
      <c r="E3505" s="14" t="s">
        <v>514</v>
      </c>
      <c r="F3505" s="12" t="s">
        <v>216</v>
      </c>
      <c r="G3505" s="15">
        <v>112</v>
      </c>
      <c r="H3505" s="12" t="s">
        <v>506</v>
      </c>
      <c r="I3505" s="12" t="s">
        <v>60</v>
      </c>
      <c r="K3505" s="16">
        <v>35.1</v>
      </c>
      <c r="L3505" s="16">
        <v>53.14</v>
      </c>
      <c r="M3505" s="16">
        <v>55.14</v>
      </c>
    </row>
    <row r="3506" spans="2:13" outlineLevel="2" x14ac:dyDescent="0.2"/>
    <row r="3507" spans="2:13" ht="22.5" outlineLevel="3" x14ac:dyDescent="0.2">
      <c r="B3507" s="4" t="str">
        <f>"0004030030"</f>
        <v>0004030030</v>
      </c>
      <c r="C3507" s="5" t="str">
        <f>"083345"</f>
        <v>083345</v>
      </c>
      <c r="D3507" s="12" t="s">
        <v>510</v>
      </c>
      <c r="E3507" s="14" t="s">
        <v>515</v>
      </c>
      <c r="F3507" s="12" t="s">
        <v>216</v>
      </c>
      <c r="G3507" s="15">
        <v>28</v>
      </c>
      <c r="H3507" s="12" t="s">
        <v>506</v>
      </c>
      <c r="I3507" s="12" t="s">
        <v>511</v>
      </c>
      <c r="J3507" s="2" t="s">
        <v>1400</v>
      </c>
      <c r="K3507" s="16">
        <v>16.98</v>
      </c>
      <c r="L3507" s="16">
        <v>26.22</v>
      </c>
      <c r="M3507" s="16">
        <v>27.72</v>
      </c>
    </row>
    <row r="3508" spans="2:13" ht="22.5" outlineLevel="3" x14ac:dyDescent="0.2">
      <c r="B3508" s="4" t="str">
        <f>"0004030030"</f>
        <v>0004030030</v>
      </c>
      <c r="C3508" s="5" t="str">
        <f>"047645"</f>
        <v>047645</v>
      </c>
      <c r="D3508" s="12" t="s">
        <v>507</v>
      </c>
      <c r="E3508" s="14" t="s">
        <v>515</v>
      </c>
      <c r="F3508" s="12" t="s">
        <v>216</v>
      </c>
      <c r="G3508" s="15">
        <v>28</v>
      </c>
      <c r="H3508" s="12" t="s">
        <v>506</v>
      </c>
      <c r="I3508" s="12" t="s">
        <v>104</v>
      </c>
      <c r="K3508" s="16">
        <v>16.98</v>
      </c>
      <c r="L3508" s="16">
        <v>26.22</v>
      </c>
      <c r="M3508" s="16">
        <v>27.72</v>
      </c>
    </row>
    <row r="3509" spans="2:13" ht="22.5" outlineLevel="3" x14ac:dyDescent="0.2">
      <c r="B3509" s="4" t="str">
        <f>"0004030030"</f>
        <v>0004030030</v>
      </c>
      <c r="C3509" s="5" t="str">
        <f>"427785"</f>
        <v>427785</v>
      </c>
      <c r="D3509" s="12" t="s">
        <v>508</v>
      </c>
      <c r="E3509" s="14" t="s">
        <v>515</v>
      </c>
      <c r="F3509" s="12" t="s">
        <v>216</v>
      </c>
      <c r="G3509" s="15">
        <v>28</v>
      </c>
      <c r="H3509" s="12" t="s">
        <v>506</v>
      </c>
      <c r="I3509" s="12" t="s">
        <v>509</v>
      </c>
      <c r="K3509" s="16">
        <v>16.98</v>
      </c>
      <c r="L3509" s="16">
        <v>26.22</v>
      </c>
      <c r="M3509" s="16">
        <v>27.72</v>
      </c>
    </row>
    <row r="3510" spans="2:13" outlineLevel="2" x14ac:dyDescent="0.2"/>
    <row r="3511" spans="2:13" ht="22.5" outlineLevel="3" x14ac:dyDescent="0.2">
      <c r="B3511" s="4" t="str">
        <f t="shared" ref="B3511:B3516" si="115">"0004030112"</f>
        <v>0004030112</v>
      </c>
      <c r="C3511" s="5" t="str">
        <f>"085316"</f>
        <v>085316</v>
      </c>
      <c r="D3511" s="12" t="s">
        <v>510</v>
      </c>
      <c r="E3511" s="14" t="s">
        <v>515</v>
      </c>
      <c r="F3511" s="12" t="s">
        <v>216</v>
      </c>
      <c r="G3511" s="15">
        <v>112</v>
      </c>
      <c r="H3511" s="12" t="s">
        <v>506</v>
      </c>
      <c r="I3511" s="12" t="s">
        <v>511</v>
      </c>
      <c r="K3511" s="16">
        <v>82.78</v>
      </c>
      <c r="L3511" s="16">
        <v>119.92</v>
      </c>
      <c r="M3511" s="16">
        <v>36.07</v>
      </c>
    </row>
    <row r="3512" spans="2:13" outlineLevel="3" x14ac:dyDescent="0.2">
      <c r="B3512" s="4" t="str">
        <f t="shared" si="115"/>
        <v>0004030112</v>
      </c>
      <c r="C3512" s="5" t="str">
        <f>"044704"</f>
        <v>044704</v>
      </c>
      <c r="D3512" s="12" t="s">
        <v>505</v>
      </c>
      <c r="E3512" s="14" t="s">
        <v>515</v>
      </c>
      <c r="F3512" s="12" t="s">
        <v>216</v>
      </c>
      <c r="G3512" s="15">
        <v>112</v>
      </c>
      <c r="H3512" s="12" t="s">
        <v>506</v>
      </c>
      <c r="I3512" s="12" t="s">
        <v>124</v>
      </c>
      <c r="J3512" s="2" t="s">
        <v>1400</v>
      </c>
      <c r="K3512" s="16">
        <v>24.11</v>
      </c>
      <c r="L3512" s="16">
        <v>36.82</v>
      </c>
      <c r="M3512" s="16">
        <v>36.07</v>
      </c>
    </row>
    <row r="3513" spans="2:13" ht="22.5" outlineLevel="3" x14ac:dyDescent="0.2">
      <c r="B3513" s="4" t="str">
        <f t="shared" si="115"/>
        <v>0004030112</v>
      </c>
      <c r="C3513" s="5" t="str">
        <f>"047667"</f>
        <v>047667</v>
      </c>
      <c r="D3513" s="12" t="s">
        <v>507</v>
      </c>
      <c r="E3513" s="14" t="s">
        <v>515</v>
      </c>
      <c r="F3513" s="12" t="s">
        <v>216</v>
      </c>
      <c r="G3513" s="15">
        <v>112</v>
      </c>
      <c r="H3513" s="12" t="s">
        <v>506</v>
      </c>
      <c r="I3513" s="12" t="s">
        <v>104</v>
      </c>
      <c r="K3513" s="16">
        <v>24.11</v>
      </c>
      <c r="L3513" s="16">
        <v>36.82</v>
      </c>
      <c r="M3513" s="16">
        <v>36.07</v>
      </c>
    </row>
    <row r="3514" spans="2:13" ht="22.5" outlineLevel="3" x14ac:dyDescent="0.2">
      <c r="B3514" s="4" t="str">
        <f t="shared" si="115"/>
        <v>0004030112</v>
      </c>
      <c r="C3514" s="5" t="str">
        <f>"139959"</f>
        <v>139959</v>
      </c>
      <c r="D3514" s="12" t="s">
        <v>508</v>
      </c>
      <c r="E3514" s="14" t="s">
        <v>515</v>
      </c>
      <c r="F3514" s="12" t="s">
        <v>216</v>
      </c>
      <c r="G3514" s="15">
        <v>112</v>
      </c>
      <c r="H3514" s="12" t="s">
        <v>506</v>
      </c>
      <c r="I3514" s="12" t="s">
        <v>509</v>
      </c>
      <c r="K3514" s="16">
        <v>24.11</v>
      </c>
      <c r="L3514" s="16">
        <v>36.82</v>
      </c>
      <c r="M3514" s="16">
        <v>36.07</v>
      </c>
    </row>
    <row r="3515" spans="2:13" ht="22.5" outlineLevel="3" x14ac:dyDescent="0.2">
      <c r="B3515" s="4" t="str">
        <f t="shared" si="115"/>
        <v>0004030112</v>
      </c>
      <c r="C3515" s="5" t="str">
        <f>"408679"</f>
        <v>408679</v>
      </c>
      <c r="D3515" s="12" t="s">
        <v>512</v>
      </c>
      <c r="E3515" s="14" t="s">
        <v>515</v>
      </c>
      <c r="F3515" s="12" t="s">
        <v>216</v>
      </c>
      <c r="G3515" s="15">
        <v>112</v>
      </c>
      <c r="H3515" s="12" t="s">
        <v>506</v>
      </c>
      <c r="I3515" s="12" t="s">
        <v>68</v>
      </c>
      <c r="K3515" s="16">
        <v>24.11</v>
      </c>
      <c r="L3515" s="16">
        <v>36.82</v>
      </c>
      <c r="M3515" s="16">
        <v>36.07</v>
      </c>
    </row>
    <row r="3516" spans="2:13" ht="22.5" outlineLevel="3" x14ac:dyDescent="0.2">
      <c r="B3516" s="4" t="str">
        <f t="shared" si="115"/>
        <v>0004030112</v>
      </c>
      <c r="C3516" s="5" t="str">
        <f>"591100"</f>
        <v>591100</v>
      </c>
      <c r="D3516" s="12" t="s">
        <v>513</v>
      </c>
      <c r="E3516" s="14" t="s">
        <v>515</v>
      </c>
      <c r="F3516" s="12" t="s">
        <v>216</v>
      </c>
      <c r="G3516" s="15">
        <v>112</v>
      </c>
      <c r="H3516" s="12" t="s">
        <v>506</v>
      </c>
      <c r="I3516" s="12" t="s">
        <v>60</v>
      </c>
      <c r="K3516" s="16">
        <v>22.6</v>
      </c>
      <c r="L3516" s="16">
        <v>34.57</v>
      </c>
      <c r="M3516" s="16">
        <v>36.07</v>
      </c>
    </row>
    <row r="3517" spans="2:13" outlineLevel="2" x14ac:dyDescent="0.2"/>
    <row r="3518" spans="2:13" ht="22.5" outlineLevel="3" x14ac:dyDescent="0.2">
      <c r="B3518" s="4" t="str">
        <f>"0004040030"</f>
        <v>0004040030</v>
      </c>
      <c r="C3518" s="5" t="str">
        <f>"047679"</f>
        <v>047679</v>
      </c>
      <c r="D3518" s="12" t="s">
        <v>507</v>
      </c>
      <c r="E3518" s="14" t="s">
        <v>516</v>
      </c>
      <c r="F3518" s="12" t="s">
        <v>216</v>
      </c>
      <c r="G3518" s="15">
        <v>28</v>
      </c>
      <c r="H3518" s="12" t="s">
        <v>506</v>
      </c>
      <c r="I3518" s="12" t="s">
        <v>104</v>
      </c>
      <c r="K3518" s="16">
        <v>13.97</v>
      </c>
      <c r="L3518" s="16">
        <v>21.76</v>
      </c>
      <c r="M3518" s="16">
        <v>23.26</v>
      </c>
    </row>
    <row r="3519" spans="2:13" ht="22.5" outlineLevel="3" x14ac:dyDescent="0.2">
      <c r="B3519" s="4" t="str">
        <f>"0004040030"</f>
        <v>0004040030</v>
      </c>
      <c r="C3519" s="5" t="str">
        <f>"427320"</f>
        <v>427320</v>
      </c>
      <c r="D3519" s="12" t="s">
        <v>508</v>
      </c>
      <c r="E3519" s="14" t="s">
        <v>516</v>
      </c>
      <c r="F3519" s="12" t="s">
        <v>216</v>
      </c>
      <c r="G3519" s="15">
        <v>28</v>
      </c>
      <c r="H3519" s="12" t="s">
        <v>506</v>
      </c>
      <c r="I3519" s="12" t="s">
        <v>509</v>
      </c>
      <c r="K3519" s="16">
        <v>13.97</v>
      </c>
      <c r="L3519" s="16">
        <v>21.76</v>
      </c>
      <c r="M3519" s="16">
        <v>23.26</v>
      </c>
    </row>
    <row r="3520" spans="2:13" outlineLevel="2" x14ac:dyDescent="0.2"/>
    <row r="3521" spans="1:13" ht="22.5" outlineLevel="3" x14ac:dyDescent="0.2">
      <c r="B3521" s="4" t="str">
        <f t="shared" ref="B3521:B3526" si="116">"0004040112"</f>
        <v>0004040112</v>
      </c>
      <c r="C3521" s="5" t="str">
        <f>"083634"</f>
        <v>083634</v>
      </c>
      <c r="D3521" s="12" t="s">
        <v>510</v>
      </c>
      <c r="E3521" s="14" t="s">
        <v>516</v>
      </c>
      <c r="F3521" s="12" t="s">
        <v>216</v>
      </c>
      <c r="G3521" s="15">
        <v>112</v>
      </c>
      <c r="H3521" s="12" t="s">
        <v>506</v>
      </c>
      <c r="I3521" s="12" t="s">
        <v>511</v>
      </c>
      <c r="K3521" s="16">
        <v>82.78</v>
      </c>
      <c r="L3521" s="16">
        <v>119.92</v>
      </c>
      <c r="M3521" s="16">
        <v>39.200000000000003</v>
      </c>
    </row>
    <row r="3522" spans="1:13" ht="22.5" outlineLevel="3" x14ac:dyDescent="0.2">
      <c r="B3522" s="4" t="str">
        <f t="shared" si="116"/>
        <v>0004040112</v>
      </c>
      <c r="C3522" s="5" t="str">
        <f>"047701"</f>
        <v>047701</v>
      </c>
      <c r="D3522" s="12" t="s">
        <v>507</v>
      </c>
      <c r="E3522" s="14" t="s">
        <v>516</v>
      </c>
      <c r="F3522" s="12" t="s">
        <v>216</v>
      </c>
      <c r="G3522" s="15">
        <v>112</v>
      </c>
      <c r="H3522" s="12" t="s">
        <v>506</v>
      </c>
      <c r="I3522" s="12" t="s">
        <v>104</v>
      </c>
      <c r="K3522" s="16">
        <v>26.35</v>
      </c>
      <c r="L3522" s="16">
        <v>40.14</v>
      </c>
      <c r="M3522" s="16">
        <v>39.200000000000003</v>
      </c>
    </row>
    <row r="3523" spans="1:13" ht="22.5" outlineLevel="3" x14ac:dyDescent="0.2">
      <c r="B3523" s="4" t="str">
        <f t="shared" si="116"/>
        <v>0004040112</v>
      </c>
      <c r="C3523" s="5" t="str">
        <f>"159762"</f>
        <v>159762</v>
      </c>
      <c r="D3523" s="12" t="s">
        <v>508</v>
      </c>
      <c r="E3523" s="14" t="s">
        <v>516</v>
      </c>
      <c r="F3523" s="12" t="s">
        <v>216</v>
      </c>
      <c r="G3523" s="15">
        <v>112</v>
      </c>
      <c r="H3523" s="12" t="s">
        <v>506</v>
      </c>
      <c r="I3523" s="12" t="s">
        <v>509</v>
      </c>
      <c r="K3523" s="16">
        <v>26.35</v>
      </c>
      <c r="L3523" s="16">
        <v>40.14</v>
      </c>
      <c r="M3523" s="16">
        <v>39.200000000000003</v>
      </c>
    </row>
    <row r="3524" spans="1:13" ht="22.5" outlineLevel="3" x14ac:dyDescent="0.2">
      <c r="B3524" s="4" t="str">
        <f t="shared" si="116"/>
        <v>0004040112</v>
      </c>
      <c r="C3524" s="5" t="str">
        <f>"446116"</f>
        <v>446116</v>
      </c>
      <c r="D3524" s="12" t="s">
        <v>512</v>
      </c>
      <c r="E3524" s="14" t="s">
        <v>516</v>
      </c>
      <c r="F3524" s="12" t="s">
        <v>216</v>
      </c>
      <c r="G3524" s="15">
        <v>112</v>
      </c>
      <c r="H3524" s="12" t="s">
        <v>506</v>
      </c>
      <c r="I3524" s="12" t="s">
        <v>68</v>
      </c>
      <c r="K3524" s="16">
        <v>26.35</v>
      </c>
      <c r="L3524" s="16">
        <v>40.14</v>
      </c>
      <c r="M3524" s="16">
        <v>39.200000000000003</v>
      </c>
    </row>
    <row r="3525" spans="1:13" outlineLevel="3" x14ac:dyDescent="0.2">
      <c r="B3525" s="4" t="str">
        <f t="shared" si="116"/>
        <v>0004040112</v>
      </c>
      <c r="C3525" s="5" t="str">
        <f>"524440"</f>
        <v>524440</v>
      </c>
      <c r="D3525" s="12" t="s">
        <v>505</v>
      </c>
      <c r="E3525" s="14" t="s">
        <v>516</v>
      </c>
      <c r="F3525" s="12" t="s">
        <v>216</v>
      </c>
      <c r="G3525" s="15">
        <v>112</v>
      </c>
      <c r="H3525" s="12" t="s">
        <v>506</v>
      </c>
      <c r="I3525" s="12" t="s">
        <v>124</v>
      </c>
      <c r="K3525" s="16">
        <v>26.35</v>
      </c>
      <c r="L3525" s="16">
        <v>40.14</v>
      </c>
      <c r="M3525" s="16">
        <v>39.200000000000003</v>
      </c>
    </row>
    <row r="3526" spans="1:13" ht="22.5" outlineLevel="3" x14ac:dyDescent="0.2">
      <c r="B3526" s="4" t="str">
        <f t="shared" si="116"/>
        <v>0004040112</v>
      </c>
      <c r="C3526" s="5" t="str">
        <f>"123995"</f>
        <v>123995</v>
      </c>
      <c r="D3526" s="12" t="s">
        <v>513</v>
      </c>
      <c r="E3526" s="14" t="s">
        <v>516</v>
      </c>
      <c r="F3526" s="12" t="s">
        <v>216</v>
      </c>
      <c r="G3526" s="15">
        <v>112</v>
      </c>
      <c r="H3526" s="12" t="s">
        <v>506</v>
      </c>
      <c r="I3526" s="12" t="s">
        <v>60</v>
      </c>
      <c r="K3526" s="16">
        <v>24.7</v>
      </c>
      <c r="L3526" s="16">
        <v>37.700000000000003</v>
      </c>
      <c r="M3526" s="16">
        <v>39.200000000000003</v>
      </c>
    </row>
    <row r="3527" spans="1:13" outlineLevel="1" x14ac:dyDescent="0.2">
      <c r="A3527" s="3"/>
    </row>
    <row r="3528" spans="1:13" outlineLevel="2" x14ac:dyDescent="0.2">
      <c r="A3528" s="3" t="s">
        <v>1578</v>
      </c>
    </row>
    <row r="3529" spans="1:13" ht="22.5" outlineLevel="3" x14ac:dyDescent="0.2">
      <c r="B3529" s="4" t="str">
        <f t="shared" ref="B3529:B3534" si="117">"0012320030"</f>
        <v>0012320030</v>
      </c>
      <c r="C3529" s="5" t="str">
        <f>"037254"</f>
        <v>037254</v>
      </c>
      <c r="D3529" s="12" t="s">
        <v>1199</v>
      </c>
      <c r="E3529" s="14" t="s">
        <v>544</v>
      </c>
      <c r="F3529" s="12" t="s">
        <v>642</v>
      </c>
      <c r="G3529" s="15">
        <v>28</v>
      </c>
      <c r="H3529" s="12" t="s">
        <v>1200</v>
      </c>
      <c r="I3529" s="12" t="s">
        <v>11</v>
      </c>
      <c r="J3529" s="2" t="s">
        <v>1400</v>
      </c>
      <c r="K3529" s="16">
        <v>8.0399999999999991</v>
      </c>
      <c r="L3529" s="16">
        <v>12.83</v>
      </c>
      <c r="M3529" s="16">
        <v>13.91</v>
      </c>
    </row>
    <row r="3530" spans="1:13" ht="22.5" outlineLevel="3" x14ac:dyDescent="0.2">
      <c r="B3530" s="4" t="str">
        <f t="shared" si="117"/>
        <v>0012320030</v>
      </c>
      <c r="C3530" s="5" t="str">
        <f>"017773"</f>
        <v>017773</v>
      </c>
      <c r="D3530" s="12" t="s">
        <v>1203</v>
      </c>
      <c r="E3530" s="14" t="s">
        <v>544</v>
      </c>
      <c r="F3530" s="12" t="s">
        <v>642</v>
      </c>
      <c r="G3530" s="15">
        <v>28</v>
      </c>
      <c r="H3530" s="12" t="s">
        <v>1200</v>
      </c>
      <c r="I3530" s="12" t="s">
        <v>980</v>
      </c>
      <c r="K3530" s="16">
        <v>8.0399999999999991</v>
      </c>
      <c r="L3530" s="16">
        <v>12.83</v>
      </c>
      <c r="M3530" s="16">
        <v>13.91</v>
      </c>
    </row>
    <row r="3531" spans="1:13" ht="22.5" outlineLevel="3" x14ac:dyDescent="0.2">
      <c r="B3531" s="4" t="str">
        <f t="shared" si="117"/>
        <v>0012320030</v>
      </c>
      <c r="C3531" s="5" t="str">
        <f>"372068"</f>
        <v>372068</v>
      </c>
      <c r="D3531" s="12" t="s">
        <v>1201</v>
      </c>
      <c r="E3531" s="14" t="s">
        <v>544</v>
      </c>
      <c r="F3531" s="12" t="s">
        <v>642</v>
      </c>
      <c r="G3531" s="15">
        <v>28</v>
      </c>
      <c r="H3531" s="12" t="s">
        <v>1200</v>
      </c>
      <c r="I3531" s="12" t="s">
        <v>28</v>
      </c>
      <c r="K3531" s="16">
        <v>7.78</v>
      </c>
      <c r="L3531" s="16">
        <v>12.41</v>
      </c>
      <c r="M3531" s="16">
        <v>13.91</v>
      </c>
    </row>
    <row r="3532" spans="1:13" ht="22.5" outlineLevel="3" x14ac:dyDescent="0.2">
      <c r="B3532" s="4" t="str">
        <f t="shared" si="117"/>
        <v>0012320030</v>
      </c>
      <c r="C3532" s="5" t="str">
        <f>"564124"</f>
        <v>564124</v>
      </c>
      <c r="D3532" s="12" t="s">
        <v>1202</v>
      </c>
      <c r="E3532" s="14" t="s">
        <v>544</v>
      </c>
      <c r="F3532" s="12" t="s">
        <v>642</v>
      </c>
      <c r="G3532" s="15">
        <v>30</v>
      </c>
      <c r="H3532" s="12" t="s">
        <v>1200</v>
      </c>
      <c r="I3532" s="12" t="s">
        <v>60</v>
      </c>
      <c r="K3532" s="16">
        <v>7.78</v>
      </c>
      <c r="L3532" s="16">
        <v>12.41</v>
      </c>
      <c r="M3532" s="16">
        <v>13.91</v>
      </c>
    </row>
    <row r="3533" spans="1:13" ht="22.5" outlineLevel="3" x14ac:dyDescent="0.2">
      <c r="B3533" s="4" t="str">
        <f t="shared" si="117"/>
        <v>0012320030</v>
      </c>
      <c r="C3533" s="5" t="str">
        <f>"157791"</f>
        <v>157791</v>
      </c>
      <c r="D3533" s="12" t="s">
        <v>1204</v>
      </c>
      <c r="E3533" s="14" t="s">
        <v>544</v>
      </c>
      <c r="F3533" s="12" t="s">
        <v>642</v>
      </c>
      <c r="G3533" s="15">
        <v>28</v>
      </c>
      <c r="H3533" s="12" t="s">
        <v>1200</v>
      </c>
      <c r="I3533" s="12" t="s">
        <v>68</v>
      </c>
      <c r="K3533" s="16">
        <v>7.78</v>
      </c>
      <c r="L3533" s="16">
        <v>12.41</v>
      </c>
      <c r="M3533" s="16">
        <v>13.91</v>
      </c>
    </row>
    <row r="3534" spans="1:13" ht="22.5" outlineLevel="3" x14ac:dyDescent="0.2">
      <c r="B3534" s="4" t="str">
        <f t="shared" si="117"/>
        <v>0012320030</v>
      </c>
      <c r="C3534" s="5" t="str">
        <f>"161754"</f>
        <v>161754</v>
      </c>
      <c r="D3534" s="12" t="s">
        <v>1205</v>
      </c>
      <c r="E3534" s="14" t="s">
        <v>544</v>
      </c>
      <c r="F3534" s="12" t="s">
        <v>642</v>
      </c>
      <c r="G3534" s="15">
        <v>28</v>
      </c>
      <c r="H3534" s="12" t="s">
        <v>1200</v>
      </c>
      <c r="I3534" s="12" t="s">
        <v>30</v>
      </c>
      <c r="K3534" s="16">
        <v>7.78</v>
      </c>
      <c r="L3534" s="16">
        <v>12.41</v>
      </c>
      <c r="M3534" s="16">
        <v>13.91</v>
      </c>
    </row>
    <row r="3535" spans="1:13" outlineLevel="2" x14ac:dyDescent="0.2"/>
    <row r="3536" spans="1:13" ht="22.5" outlineLevel="3" x14ac:dyDescent="0.2">
      <c r="B3536" s="4" t="str">
        <f t="shared" ref="B3536:B3541" si="118">"0012330030"</f>
        <v>0012330030</v>
      </c>
      <c r="C3536" s="5" t="str">
        <f>"598366"</f>
        <v>598366</v>
      </c>
      <c r="D3536" s="12" t="s">
        <v>1199</v>
      </c>
      <c r="E3536" s="14" t="s">
        <v>237</v>
      </c>
      <c r="F3536" s="12" t="s">
        <v>642</v>
      </c>
      <c r="G3536" s="15">
        <v>28</v>
      </c>
      <c r="H3536" s="12" t="s">
        <v>1200</v>
      </c>
      <c r="I3536" s="12" t="s">
        <v>11</v>
      </c>
      <c r="J3536" s="2" t="s">
        <v>1400</v>
      </c>
      <c r="K3536" s="16">
        <v>15.15</v>
      </c>
      <c r="L3536" s="16">
        <v>23.51</v>
      </c>
      <c r="M3536" s="16">
        <v>23.38</v>
      </c>
    </row>
    <row r="3537" spans="2:13" ht="22.5" outlineLevel="3" x14ac:dyDescent="0.2">
      <c r="B3537" s="4" t="str">
        <f t="shared" si="118"/>
        <v>0012330030</v>
      </c>
      <c r="C3537" s="5" t="str">
        <f>"017762"</f>
        <v>017762</v>
      </c>
      <c r="D3537" s="12" t="s">
        <v>1203</v>
      </c>
      <c r="E3537" s="14" t="s">
        <v>237</v>
      </c>
      <c r="F3537" s="12" t="s">
        <v>642</v>
      </c>
      <c r="G3537" s="15">
        <v>28</v>
      </c>
      <c r="H3537" s="12" t="s">
        <v>1200</v>
      </c>
      <c r="I3537" s="12" t="s">
        <v>980</v>
      </c>
      <c r="K3537" s="16">
        <v>15.12</v>
      </c>
      <c r="L3537" s="16">
        <v>23.46</v>
      </c>
      <c r="M3537" s="16">
        <v>23.38</v>
      </c>
    </row>
    <row r="3538" spans="2:13" ht="22.5" outlineLevel="3" x14ac:dyDescent="0.2">
      <c r="B3538" s="4" t="str">
        <f t="shared" si="118"/>
        <v>0012330030</v>
      </c>
      <c r="C3538" s="5" t="str">
        <f>"068937"</f>
        <v>068937</v>
      </c>
      <c r="D3538" s="12" t="s">
        <v>1201</v>
      </c>
      <c r="E3538" s="14" t="s">
        <v>237</v>
      </c>
      <c r="F3538" s="12" t="s">
        <v>642</v>
      </c>
      <c r="G3538" s="15">
        <v>28</v>
      </c>
      <c r="H3538" s="12" t="s">
        <v>1200</v>
      </c>
      <c r="I3538" s="12" t="s">
        <v>28</v>
      </c>
      <c r="K3538" s="16">
        <v>15.12</v>
      </c>
      <c r="L3538" s="16">
        <v>23.46</v>
      </c>
      <c r="M3538" s="16">
        <v>23.38</v>
      </c>
    </row>
    <row r="3539" spans="2:13" ht="22.5" outlineLevel="3" x14ac:dyDescent="0.2">
      <c r="B3539" s="4" t="str">
        <f t="shared" si="118"/>
        <v>0012330030</v>
      </c>
      <c r="C3539" s="5" t="str">
        <f>"110374"</f>
        <v>110374</v>
      </c>
      <c r="D3539" s="12" t="s">
        <v>1204</v>
      </c>
      <c r="E3539" s="14" t="s">
        <v>237</v>
      </c>
      <c r="F3539" s="12" t="s">
        <v>642</v>
      </c>
      <c r="G3539" s="15">
        <v>28</v>
      </c>
      <c r="H3539" s="12" t="s">
        <v>1200</v>
      </c>
      <c r="I3539" s="12" t="s">
        <v>68</v>
      </c>
      <c r="K3539" s="16">
        <v>15.12</v>
      </c>
      <c r="L3539" s="16">
        <v>23.46</v>
      </c>
      <c r="M3539" s="16">
        <v>23.38</v>
      </c>
    </row>
    <row r="3540" spans="2:13" ht="22.5" outlineLevel="3" x14ac:dyDescent="0.2">
      <c r="B3540" s="4" t="str">
        <f t="shared" si="118"/>
        <v>0012330030</v>
      </c>
      <c r="C3540" s="5" t="str">
        <f>"187258"</f>
        <v>187258</v>
      </c>
      <c r="D3540" s="12" t="s">
        <v>1205</v>
      </c>
      <c r="E3540" s="14" t="s">
        <v>237</v>
      </c>
      <c r="F3540" s="12" t="s">
        <v>642</v>
      </c>
      <c r="G3540" s="15">
        <v>28</v>
      </c>
      <c r="H3540" s="12" t="s">
        <v>1200</v>
      </c>
      <c r="I3540" s="12" t="s">
        <v>30</v>
      </c>
      <c r="K3540" s="16">
        <v>15.12</v>
      </c>
      <c r="L3540" s="16">
        <v>23.46</v>
      </c>
      <c r="M3540" s="16">
        <v>23.38</v>
      </c>
    </row>
    <row r="3541" spans="2:13" ht="22.5" outlineLevel="3" x14ac:dyDescent="0.2">
      <c r="B3541" s="4" t="str">
        <f t="shared" si="118"/>
        <v>0012330030</v>
      </c>
      <c r="C3541" s="5" t="str">
        <f>"118379"</f>
        <v>118379</v>
      </c>
      <c r="D3541" s="12" t="s">
        <v>1202</v>
      </c>
      <c r="E3541" s="14" t="s">
        <v>237</v>
      </c>
      <c r="F3541" s="12" t="s">
        <v>642</v>
      </c>
      <c r="G3541" s="15">
        <v>30</v>
      </c>
      <c r="H3541" s="12" t="s">
        <v>1200</v>
      </c>
      <c r="I3541" s="12" t="s">
        <v>60</v>
      </c>
      <c r="K3541" s="16">
        <v>14.05</v>
      </c>
      <c r="L3541" s="16">
        <v>21.88</v>
      </c>
      <c r="M3541" s="16">
        <v>23.38</v>
      </c>
    </row>
    <row r="3542" spans="2:13" outlineLevel="2" x14ac:dyDescent="0.2"/>
    <row r="3543" spans="2:13" ht="22.5" outlineLevel="3" x14ac:dyDescent="0.2">
      <c r="B3543" s="4" t="str">
        <f t="shared" ref="B3543:B3548" si="119">"0012330084"</f>
        <v>0012330084</v>
      </c>
      <c r="C3543" s="5" t="str">
        <f>"066293"</f>
        <v>066293</v>
      </c>
      <c r="D3543" s="12" t="s">
        <v>1199</v>
      </c>
      <c r="E3543" s="14" t="s">
        <v>237</v>
      </c>
      <c r="F3543" s="12" t="s">
        <v>642</v>
      </c>
      <c r="G3543" s="15">
        <v>84</v>
      </c>
      <c r="H3543" s="12" t="s">
        <v>1200</v>
      </c>
      <c r="I3543" s="12" t="s">
        <v>11</v>
      </c>
      <c r="J3543" s="2" t="s">
        <v>1400</v>
      </c>
      <c r="K3543" s="16">
        <v>68.45</v>
      </c>
      <c r="L3543" s="16">
        <v>100.21</v>
      </c>
      <c r="M3543" s="16">
        <v>93.34</v>
      </c>
    </row>
    <row r="3544" spans="2:13" ht="22.5" outlineLevel="3" x14ac:dyDescent="0.2">
      <c r="B3544" s="4" t="str">
        <f t="shared" si="119"/>
        <v>0012330084</v>
      </c>
      <c r="C3544" s="5" t="str">
        <f>"017763"</f>
        <v>017763</v>
      </c>
      <c r="D3544" s="12" t="s">
        <v>1203</v>
      </c>
      <c r="E3544" s="14" t="s">
        <v>237</v>
      </c>
      <c r="F3544" s="12" t="s">
        <v>642</v>
      </c>
      <c r="G3544" s="15">
        <v>84</v>
      </c>
      <c r="H3544" s="12" t="s">
        <v>1200</v>
      </c>
      <c r="I3544" s="12" t="s">
        <v>980</v>
      </c>
      <c r="K3544" s="16">
        <v>65.45</v>
      </c>
      <c r="L3544" s="16">
        <v>96.09</v>
      </c>
      <c r="M3544" s="16">
        <v>93.34</v>
      </c>
    </row>
    <row r="3545" spans="2:13" ht="22.5" outlineLevel="3" x14ac:dyDescent="0.2">
      <c r="B3545" s="4" t="str">
        <f t="shared" si="119"/>
        <v>0012330084</v>
      </c>
      <c r="C3545" s="5" t="str">
        <f>"192182"</f>
        <v>192182</v>
      </c>
      <c r="D3545" s="12" t="s">
        <v>1201</v>
      </c>
      <c r="E3545" s="14" t="s">
        <v>237</v>
      </c>
      <c r="F3545" s="12" t="s">
        <v>642</v>
      </c>
      <c r="G3545" s="15">
        <v>84</v>
      </c>
      <c r="H3545" s="12" t="s">
        <v>1200</v>
      </c>
      <c r="I3545" s="12" t="s">
        <v>28</v>
      </c>
      <c r="K3545" s="16">
        <v>65.45</v>
      </c>
      <c r="L3545" s="16">
        <v>96.09</v>
      </c>
      <c r="M3545" s="16">
        <v>93.34</v>
      </c>
    </row>
    <row r="3546" spans="2:13" ht="22.5" outlineLevel="3" x14ac:dyDescent="0.2">
      <c r="B3546" s="4" t="str">
        <f t="shared" si="119"/>
        <v>0012330084</v>
      </c>
      <c r="C3546" s="5" t="str">
        <f>"412682"</f>
        <v>412682</v>
      </c>
      <c r="D3546" s="12" t="s">
        <v>1205</v>
      </c>
      <c r="E3546" s="14" t="s">
        <v>237</v>
      </c>
      <c r="F3546" s="12" t="s">
        <v>642</v>
      </c>
      <c r="G3546" s="15">
        <v>84</v>
      </c>
      <c r="H3546" s="12" t="s">
        <v>1200</v>
      </c>
      <c r="I3546" s="12" t="s">
        <v>30</v>
      </c>
      <c r="K3546" s="16">
        <v>65.45</v>
      </c>
      <c r="L3546" s="16">
        <v>96.09</v>
      </c>
      <c r="M3546" s="16">
        <v>93.34</v>
      </c>
    </row>
    <row r="3547" spans="2:13" ht="22.5" outlineLevel="3" x14ac:dyDescent="0.2">
      <c r="B3547" s="4" t="str">
        <f t="shared" si="119"/>
        <v>0012330084</v>
      </c>
      <c r="C3547" s="5" t="str">
        <f>"437518"</f>
        <v>437518</v>
      </c>
      <c r="D3547" s="12" t="s">
        <v>1204</v>
      </c>
      <c r="E3547" s="14" t="s">
        <v>237</v>
      </c>
      <c r="F3547" s="12" t="s">
        <v>642</v>
      </c>
      <c r="G3547" s="15">
        <v>84</v>
      </c>
      <c r="H3547" s="12" t="s">
        <v>1200</v>
      </c>
      <c r="I3547" s="12" t="s">
        <v>68</v>
      </c>
      <c r="K3547" s="16">
        <v>65.45</v>
      </c>
      <c r="L3547" s="16">
        <v>96.09</v>
      </c>
      <c r="M3547" s="16">
        <v>93.34</v>
      </c>
    </row>
    <row r="3548" spans="2:13" ht="22.5" outlineLevel="3" x14ac:dyDescent="0.2">
      <c r="B3548" s="4" t="str">
        <f t="shared" si="119"/>
        <v>0012330084</v>
      </c>
      <c r="C3548" s="5" t="str">
        <f>"059059"</f>
        <v>059059</v>
      </c>
      <c r="D3548" s="12" t="s">
        <v>1202</v>
      </c>
      <c r="E3548" s="14" t="s">
        <v>237</v>
      </c>
      <c r="F3548" s="12" t="s">
        <v>642</v>
      </c>
      <c r="G3548" s="15">
        <v>84</v>
      </c>
      <c r="H3548" s="12" t="s">
        <v>1200</v>
      </c>
      <c r="I3548" s="12" t="s">
        <v>60</v>
      </c>
      <c r="K3548" s="16">
        <v>62</v>
      </c>
      <c r="L3548" s="16">
        <v>91.34</v>
      </c>
      <c r="M3548" s="16">
        <v>93.34</v>
      </c>
    </row>
    <row r="3549" spans="2:13" outlineLevel="2" x14ac:dyDescent="0.2"/>
    <row r="3550" spans="2:13" ht="22.5" outlineLevel="3" x14ac:dyDescent="0.2">
      <c r="B3550" s="4" t="str">
        <f>"0012340030"</f>
        <v>0012340030</v>
      </c>
      <c r="C3550" s="5" t="str">
        <f>"087358"</f>
        <v>087358</v>
      </c>
      <c r="D3550" s="12" t="s">
        <v>1199</v>
      </c>
      <c r="E3550" s="14" t="s">
        <v>1206</v>
      </c>
      <c r="F3550" s="12" t="s">
        <v>642</v>
      </c>
      <c r="G3550" s="15">
        <v>28</v>
      </c>
      <c r="H3550" s="12" t="s">
        <v>1200</v>
      </c>
      <c r="I3550" s="12" t="s">
        <v>11</v>
      </c>
      <c r="J3550" s="2" t="s">
        <v>1400</v>
      </c>
      <c r="K3550" s="16">
        <v>17.66</v>
      </c>
      <c r="L3550" s="16">
        <v>27.24</v>
      </c>
      <c r="M3550" s="16">
        <v>25.54</v>
      </c>
    </row>
    <row r="3551" spans="2:13" ht="22.5" outlineLevel="3" x14ac:dyDescent="0.2">
      <c r="B3551" s="4" t="str">
        <f>"0012340030"</f>
        <v>0012340030</v>
      </c>
      <c r="C3551" s="5" t="str">
        <f>"017787"</f>
        <v>017787</v>
      </c>
      <c r="D3551" s="12" t="s">
        <v>1203</v>
      </c>
      <c r="E3551" s="14" t="s">
        <v>1206</v>
      </c>
      <c r="F3551" s="12" t="s">
        <v>642</v>
      </c>
      <c r="G3551" s="15">
        <v>28</v>
      </c>
      <c r="H3551" s="12" t="s">
        <v>1200</v>
      </c>
      <c r="I3551" s="12" t="s">
        <v>980</v>
      </c>
      <c r="K3551" s="16">
        <v>16.670000000000002</v>
      </c>
      <c r="L3551" s="16">
        <v>25.76</v>
      </c>
      <c r="M3551" s="16">
        <v>25.54</v>
      </c>
    </row>
    <row r="3552" spans="2:13" ht="22.5" outlineLevel="3" x14ac:dyDescent="0.2">
      <c r="B3552" s="4" t="str">
        <f>"0012340030"</f>
        <v>0012340030</v>
      </c>
      <c r="C3552" s="5" t="str">
        <f>"050002"</f>
        <v>050002</v>
      </c>
      <c r="D3552" s="12" t="s">
        <v>1201</v>
      </c>
      <c r="E3552" s="14" t="s">
        <v>1206</v>
      </c>
      <c r="F3552" s="12" t="s">
        <v>642</v>
      </c>
      <c r="G3552" s="15">
        <v>28</v>
      </c>
      <c r="H3552" s="12" t="s">
        <v>1200</v>
      </c>
      <c r="I3552" s="12" t="s">
        <v>28</v>
      </c>
      <c r="K3552" s="16">
        <v>16.670000000000002</v>
      </c>
      <c r="L3552" s="16">
        <v>25.76</v>
      </c>
      <c r="M3552" s="16">
        <v>25.54</v>
      </c>
    </row>
    <row r="3553" spans="1:13" ht="22.5" outlineLevel="3" x14ac:dyDescent="0.2">
      <c r="B3553" s="4" t="str">
        <f>"0012340030"</f>
        <v>0012340030</v>
      </c>
      <c r="C3553" s="5" t="str">
        <f>"391390"</f>
        <v>391390</v>
      </c>
      <c r="D3553" s="12" t="s">
        <v>1205</v>
      </c>
      <c r="E3553" s="14" t="s">
        <v>1206</v>
      </c>
      <c r="F3553" s="12" t="s">
        <v>642</v>
      </c>
      <c r="G3553" s="15">
        <v>28</v>
      </c>
      <c r="H3553" s="12" t="s">
        <v>1200</v>
      </c>
      <c r="I3553" s="12" t="s">
        <v>30</v>
      </c>
      <c r="K3553" s="16">
        <v>16.670000000000002</v>
      </c>
      <c r="L3553" s="16">
        <v>25.76</v>
      </c>
      <c r="M3553" s="16">
        <v>25.54</v>
      </c>
    </row>
    <row r="3554" spans="1:13" ht="22.5" outlineLevel="3" x14ac:dyDescent="0.2">
      <c r="B3554" s="4" t="str">
        <f>"0012340030"</f>
        <v>0012340030</v>
      </c>
      <c r="C3554" s="5" t="str">
        <f>"469931"</f>
        <v>469931</v>
      </c>
      <c r="D3554" s="12" t="s">
        <v>1202</v>
      </c>
      <c r="E3554" s="14" t="s">
        <v>1206</v>
      </c>
      <c r="F3554" s="12" t="s">
        <v>642</v>
      </c>
      <c r="G3554" s="15">
        <v>30</v>
      </c>
      <c r="H3554" s="12" t="s">
        <v>1200</v>
      </c>
      <c r="I3554" s="12" t="s">
        <v>60</v>
      </c>
      <c r="K3554" s="16">
        <v>15.5</v>
      </c>
      <c r="L3554" s="16">
        <v>24.04</v>
      </c>
      <c r="M3554" s="16">
        <v>25.54</v>
      </c>
    </row>
    <row r="3555" spans="1:13" outlineLevel="2" x14ac:dyDescent="0.2"/>
    <row r="3556" spans="1:13" ht="22.5" outlineLevel="3" x14ac:dyDescent="0.2">
      <c r="B3556" s="4" t="str">
        <f t="shared" ref="B3556:B3561" si="120">"0012340084"</f>
        <v>0012340084</v>
      </c>
      <c r="C3556" s="5" t="str">
        <f>"146352"</f>
        <v>146352</v>
      </c>
      <c r="D3556" s="12" t="s">
        <v>1199</v>
      </c>
      <c r="E3556" s="14" t="s">
        <v>1206</v>
      </c>
      <c r="F3556" s="12" t="s">
        <v>642</v>
      </c>
      <c r="G3556" s="15">
        <v>84</v>
      </c>
      <c r="H3556" s="12" t="s">
        <v>1200</v>
      </c>
      <c r="I3556" s="12" t="s">
        <v>11</v>
      </c>
      <c r="J3556" s="2" t="s">
        <v>1400</v>
      </c>
      <c r="K3556" s="16">
        <v>65.45</v>
      </c>
      <c r="L3556" s="16">
        <v>96.09</v>
      </c>
      <c r="M3556" s="16">
        <v>91.97</v>
      </c>
    </row>
    <row r="3557" spans="1:13" ht="22.5" outlineLevel="3" x14ac:dyDescent="0.2">
      <c r="B3557" s="4" t="str">
        <f t="shared" si="120"/>
        <v>0012340084</v>
      </c>
      <c r="C3557" s="5" t="str">
        <f>"017809"</f>
        <v>017809</v>
      </c>
      <c r="D3557" s="12" t="s">
        <v>1203</v>
      </c>
      <c r="E3557" s="14" t="s">
        <v>1206</v>
      </c>
      <c r="F3557" s="12" t="s">
        <v>642</v>
      </c>
      <c r="G3557" s="15">
        <v>84</v>
      </c>
      <c r="H3557" s="12" t="s">
        <v>1200</v>
      </c>
      <c r="I3557" s="12" t="s">
        <v>980</v>
      </c>
      <c r="K3557" s="16">
        <v>63.45</v>
      </c>
      <c r="L3557" s="16">
        <v>93.34</v>
      </c>
      <c r="M3557" s="16">
        <v>91.97</v>
      </c>
    </row>
    <row r="3558" spans="1:13" ht="22.5" outlineLevel="3" x14ac:dyDescent="0.2">
      <c r="B3558" s="4" t="str">
        <f t="shared" si="120"/>
        <v>0012340084</v>
      </c>
      <c r="C3558" s="5" t="str">
        <f>"090635"</f>
        <v>090635</v>
      </c>
      <c r="D3558" s="12" t="s">
        <v>1205</v>
      </c>
      <c r="E3558" s="14" t="s">
        <v>1206</v>
      </c>
      <c r="F3558" s="12" t="s">
        <v>642</v>
      </c>
      <c r="G3558" s="15">
        <v>84</v>
      </c>
      <c r="H3558" s="12" t="s">
        <v>1200</v>
      </c>
      <c r="I3558" s="12" t="s">
        <v>30</v>
      </c>
      <c r="K3558" s="16">
        <v>63.45</v>
      </c>
      <c r="L3558" s="16">
        <v>93.34</v>
      </c>
      <c r="M3558" s="16">
        <v>91.97</v>
      </c>
    </row>
    <row r="3559" spans="1:13" ht="22.5" outlineLevel="3" x14ac:dyDescent="0.2">
      <c r="B3559" s="4" t="str">
        <f t="shared" si="120"/>
        <v>0012340084</v>
      </c>
      <c r="C3559" s="5" t="str">
        <f>"486023"</f>
        <v>486023</v>
      </c>
      <c r="D3559" s="12" t="s">
        <v>1204</v>
      </c>
      <c r="E3559" s="14" t="s">
        <v>1206</v>
      </c>
      <c r="F3559" s="12" t="s">
        <v>642</v>
      </c>
      <c r="G3559" s="15">
        <v>84</v>
      </c>
      <c r="H3559" s="12" t="s">
        <v>1200</v>
      </c>
      <c r="I3559" s="12" t="s">
        <v>68</v>
      </c>
      <c r="K3559" s="16">
        <v>63.45</v>
      </c>
      <c r="L3559" s="16">
        <v>93.34</v>
      </c>
      <c r="M3559" s="16">
        <v>91.97</v>
      </c>
    </row>
    <row r="3560" spans="1:13" ht="22.5" outlineLevel="3" x14ac:dyDescent="0.2">
      <c r="B3560" s="4" t="str">
        <f t="shared" si="120"/>
        <v>0012340084</v>
      </c>
      <c r="C3560" s="5" t="str">
        <f>"498340"</f>
        <v>498340</v>
      </c>
      <c r="D3560" s="12" t="s">
        <v>1201</v>
      </c>
      <c r="E3560" s="14" t="s">
        <v>1206</v>
      </c>
      <c r="F3560" s="12" t="s">
        <v>642</v>
      </c>
      <c r="G3560" s="15">
        <v>84</v>
      </c>
      <c r="H3560" s="12" t="s">
        <v>1200</v>
      </c>
      <c r="I3560" s="12" t="s">
        <v>28</v>
      </c>
      <c r="K3560" s="16">
        <v>63.45</v>
      </c>
      <c r="L3560" s="16">
        <v>93.34</v>
      </c>
      <c r="M3560" s="16">
        <v>91.97</v>
      </c>
    </row>
    <row r="3561" spans="1:13" ht="22.5" outlineLevel="3" x14ac:dyDescent="0.2">
      <c r="B3561" s="4" t="str">
        <f t="shared" si="120"/>
        <v>0012340084</v>
      </c>
      <c r="C3561" s="5" t="str">
        <f>"389404"</f>
        <v>389404</v>
      </c>
      <c r="D3561" s="12" t="s">
        <v>1202</v>
      </c>
      <c r="E3561" s="14" t="s">
        <v>1206</v>
      </c>
      <c r="F3561" s="12" t="s">
        <v>642</v>
      </c>
      <c r="G3561" s="15">
        <v>84</v>
      </c>
      <c r="H3561" s="12" t="s">
        <v>1200</v>
      </c>
      <c r="I3561" s="12" t="s">
        <v>60</v>
      </c>
      <c r="K3561" s="16">
        <v>61</v>
      </c>
      <c r="L3561" s="16">
        <v>89.97</v>
      </c>
      <c r="M3561" s="16">
        <v>91.97</v>
      </c>
    </row>
    <row r="3562" spans="1:13" outlineLevel="1" x14ac:dyDescent="0.2">
      <c r="A3562" s="3"/>
    </row>
    <row r="3563" spans="1:13" outlineLevel="2" x14ac:dyDescent="0.2">
      <c r="A3563" s="3" t="s">
        <v>1579</v>
      </c>
    </row>
    <row r="3564" spans="1:13" ht="33.75" outlineLevel="3" x14ac:dyDescent="0.2">
      <c r="B3564" s="4" t="str">
        <f t="shared" ref="B3564:B3572" si="121">"0004050030"</f>
        <v>0004050030</v>
      </c>
      <c r="C3564" s="5" t="str">
        <f>"010312"</f>
        <v>010312</v>
      </c>
      <c r="D3564" s="12" t="s">
        <v>519</v>
      </c>
      <c r="E3564" s="14" t="s">
        <v>82</v>
      </c>
      <c r="F3564" s="12" t="s">
        <v>3</v>
      </c>
      <c r="G3564" s="15">
        <v>30</v>
      </c>
      <c r="H3564" s="12" t="s">
        <v>518</v>
      </c>
      <c r="I3564" s="12" t="s">
        <v>492</v>
      </c>
      <c r="K3564" s="16">
        <v>18.329999999999998</v>
      </c>
      <c r="L3564" s="16">
        <v>28.24</v>
      </c>
      <c r="M3564" s="16">
        <v>3.69</v>
      </c>
    </row>
    <row r="3565" spans="1:13" ht="33.75" outlineLevel="3" x14ac:dyDescent="0.2">
      <c r="B3565" s="4" t="str">
        <f t="shared" si="121"/>
        <v>0004050030</v>
      </c>
      <c r="C3565" s="5" t="str">
        <f>"062202"</f>
        <v>062202</v>
      </c>
      <c r="D3565" s="12" t="s">
        <v>520</v>
      </c>
      <c r="E3565" s="14" t="s">
        <v>82</v>
      </c>
      <c r="F3565" s="12" t="s">
        <v>3</v>
      </c>
      <c r="G3565" s="15">
        <v>30</v>
      </c>
      <c r="H3565" s="12" t="s">
        <v>518</v>
      </c>
      <c r="I3565" s="12" t="s">
        <v>521</v>
      </c>
      <c r="K3565" s="16">
        <v>2.78</v>
      </c>
      <c r="L3565" s="16">
        <v>4.43</v>
      </c>
      <c r="M3565" s="16">
        <v>3.69</v>
      </c>
    </row>
    <row r="3566" spans="1:13" ht="33.75" outlineLevel="3" x14ac:dyDescent="0.2">
      <c r="B3566" s="4" t="str">
        <f t="shared" si="121"/>
        <v>0004050030</v>
      </c>
      <c r="C3566" s="5" t="str">
        <f>"155033"</f>
        <v>155033</v>
      </c>
      <c r="D3566" s="12" t="s">
        <v>523</v>
      </c>
      <c r="E3566" s="14" t="s">
        <v>82</v>
      </c>
      <c r="F3566" s="12" t="s">
        <v>3</v>
      </c>
      <c r="G3566" s="15">
        <v>30</v>
      </c>
      <c r="H3566" s="12" t="s">
        <v>518</v>
      </c>
      <c r="I3566" s="12" t="s">
        <v>5</v>
      </c>
      <c r="K3566" s="16">
        <v>2.78</v>
      </c>
      <c r="L3566" s="16">
        <v>4.43</v>
      </c>
      <c r="M3566" s="16">
        <v>3.69</v>
      </c>
    </row>
    <row r="3567" spans="1:13" ht="33.75" outlineLevel="3" x14ac:dyDescent="0.2">
      <c r="B3567" s="4" t="str">
        <f t="shared" si="121"/>
        <v>0004050030</v>
      </c>
      <c r="C3567" s="5" t="str">
        <f>"435887"</f>
        <v>435887</v>
      </c>
      <c r="D3567" s="12" t="s">
        <v>525</v>
      </c>
      <c r="E3567" s="14" t="s">
        <v>82</v>
      </c>
      <c r="F3567" s="12" t="s">
        <v>3</v>
      </c>
      <c r="G3567" s="15">
        <v>30</v>
      </c>
      <c r="H3567" s="12" t="s">
        <v>518</v>
      </c>
      <c r="I3567" s="12" t="s">
        <v>526</v>
      </c>
      <c r="K3567" s="16">
        <v>2.78</v>
      </c>
      <c r="L3567" s="16">
        <v>4.43</v>
      </c>
      <c r="M3567" s="16">
        <v>3.69</v>
      </c>
    </row>
    <row r="3568" spans="1:13" ht="33.75" outlineLevel="3" x14ac:dyDescent="0.2">
      <c r="B3568" s="4" t="str">
        <f t="shared" si="121"/>
        <v>0004050030</v>
      </c>
      <c r="C3568" s="5" t="str">
        <f>"546524"</f>
        <v>546524</v>
      </c>
      <c r="D3568" s="12" t="s">
        <v>527</v>
      </c>
      <c r="E3568" s="14" t="s">
        <v>82</v>
      </c>
      <c r="F3568" s="12" t="s">
        <v>3</v>
      </c>
      <c r="G3568" s="15">
        <v>30</v>
      </c>
      <c r="H3568" s="12" t="s">
        <v>518</v>
      </c>
      <c r="I3568" s="12" t="s">
        <v>28</v>
      </c>
      <c r="K3568" s="16">
        <v>2.78</v>
      </c>
      <c r="L3568" s="16">
        <v>4.43</v>
      </c>
      <c r="M3568" s="16">
        <v>3.69</v>
      </c>
    </row>
    <row r="3569" spans="2:13" ht="33.75" outlineLevel="3" x14ac:dyDescent="0.2">
      <c r="B3569" s="4" t="str">
        <f t="shared" si="121"/>
        <v>0004050030</v>
      </c>
      <c r="C3569" s="5" t="str">
        <f>"557617"</f>
        <v>557617</v>
      </c>
      <c r="D3569" s="12" t="s">
        <v>528</v>
      </c>
      <c r="E3569" s="14" t="s">
        <v>82</v>
      </c>
      <c r="F3569" s="12" t="s">
        <v>3</v>
      </c>
      <c r="G3569" s="15">
        <v>28</v>
      </c>
      <c r="H3569" s="12" t="s">
        <v>518</v>
      </c>
      <c r="I3569" s="12" t="s">
        <v>529</v>
      </c>
      <c r="K3569" s="16">
        <v>2.78</v>
      </c>
      <c r="L3569" s="16">
        <v>4.43</v>
      </c>
      <c r="M3569" s="16">
        <v>3.69</v>
      </c>
    </row>
    <row r="3570" spans="2:13" ht="33.75" outlineLevel="3" x14ac:dyDescent="0.2">
      <c r="B3570" s="4" t="str">
        <f t="shared" si="121"/>
        <v>0004050030</v>
      </c>
      <c r="C3570" s="5" t="str">
        <f>"138389"</f>
        <v>138389</v>
      </c>
      <c r="D3570" s="12" t="s">
        <v>517</v>
      </c>
      <c r="E3570" s="14" t="s">
        <v>82</v>
      </c>
      <c r="F3570" s="12" t="s">
        <v>3</v>
      </c>
      <c r="G3570" s="15">
        <v>28</v>
      </c>
      <c r="H3570" s="12" t="s">
        <v>518</v>
      </c>
      <c r="I3570" s="12" t="s">
        <v>355</v>
      </c>
      <c r="J3570" s="2" t="s">
        <v>1400</v>
      </c>
      <c r="K3570" s="16">
        <v>2.5099999999999998</v>
      </c>
      <c r="L3570" s="16">
        <v>4</v>
      </c>
      <c r="M3570" s="16">
        <v>3.69</v>
      </c>
    </row>
    <row r="3571" spans="2:13" ht="33.75" outlineLevel="3" x14ac:dyDescent="0.2">
      <c r="B3571" s="4" t="str">
        <f t="shared" si="121"/>
        <v>0004050030</v>
      </c>
      <c r="C3571" s="5" t="str">
        <f>"418557"</f>
        <v>418557</v>
      </c>
      <c r="D3571" s="12" t="s">
        <v>524</v>
      </c>
      <c r="E3571" s="14" t="s">
        <v>82</v>
      </c>
      <c r="F3571" s="12" t="s">
        <v>3</v>
      </c>
      <c r="G3571" s="15">
        <v>28</v>
      </c>
      <c r="H3571" s="12" t="s">
        <v>518</v>
      </c>
      <c r="I3571" s="12" t="s">
        <v>79</v>
      </c>
      <c r="K3571" s="16">
        <v>1.45</v>
      </c>
      <c r="L3571" s="16">
        <v>2.31</v>
      </c>
      <c r="M3571" s="16">
        <v>3.69</v>
      </c>
    </row>
    <row r="3572" spans="2:13" ht="33.75" outlineLevel="3" x14ac:dyDescent="0.2">
      <c r="B3572" s="4" t="str">
        <f t="shared" si="121"/>
        <v>0004050030</v>
      </c>
      <c r="C3572" s="5" t="str">
        <f>"079272"</f>
        <v>079272</v>
      </c>
      <c r="D3572" s="12" t="s">
        <v>522</v>
      </c>
      <c r="E3572" s="14" t="s">
        <v>82</v>
      </c>
      <c r="F3572" s="12" t="s">
        <v>3</v>
      </c>
      <c r="G3572" s="15">
        <v>30</v>
      </c>
      <c r="H3572" s="12" t="s">
        <v>518</v>
      </c>
      <c r="I3572" s="12" t="s">
        <v>60</v>
      </c>
      <c r="K3572" s="16">
        <v>1.37</v>
      </c>
      <c r="L3572" s="16">
        <v>2.19</v>
      </c>
      <c r="M3572" s="16">
        <v>3.69</v>
      </c>
    </row>
    <row r="3573" spans="2:13" outlineLevel="2" x14ac:dyDescent="0.2"/>
    <row r="3574" spans="2:13" ht="33.75" outlineLevel="3" x14ac:dyDescent="0.2">
      <c r="B3574" s="4" t="str">
        <f>"0004050050"</f>
        <v>0004050050</v>
      </c>
      <c r="C3574" s="5" t="str">
        <f>"079499"</f>
        <v>079499</v>
      </c>
      <c r="D3574" s="12" t="s">
        <v>523</v>
      </c>
      <c r="E3574" s="14" t="s">
        <v>82</v>
      </c>
      <c r="F3574" s="12" t="s">
        <v>3</v>
      </c>
      <c r="G3574" s="15">
        <v>50</v>
      </c>
      <c r="H3574" s="12" t="s">
        <v>518</v>
      </c>
      <c r="I3574" s="12" t="s">
        <v>5</v>
      </c>
      <c r="J3574" s="2" t="s">
        <v>1400</v>
      </c>
      <c r="K3574" s="16">
        <v>28.5</v>
      </c>
      <c r="L3574" s="16">
        <v>43.34</v>
      </c>
      <c r="M3574" s="16">
        <v>45.34</v>
      </c>
    </row>
    <row r="3575" spans="2:13" ht="33.75" outlineLevel="3" x14ac:dyDescent="0.2">
      <c r="B3575" s="4" t="str">
        <f>"0004050050"</f>
        <v>0004050050</v>
      </c>
      <c r="C3575" s="5" t="str">
        <f>"010323"</f>
        <v>010323</v>
      </c>
      <c r="D3575" s="12" t="s">
        <v>519</v>
      </c>
      <c r="E3575" s="14" t="s">
        <v>82</v>
      </c>
      <c r="F3575" s="12" t="s">
        <v>3</v>
      </c>
      <c r="G3575" s="15">
        <v>50</v>
      </c>
      <c r="H3575" s="12" t="s">
        <v>518</v>
      </c>
      <c r="I3575" s="12" t="s">
        <v>492</v>
      </c>
      <c r="K3575" s="16">
        <v>28.5</v>
      </c>
      <c r="L3575" s="16">
        <v>43.34</v>
      </c>
      <c r="M3575" s="16">
        <v>45.34</v>
      </c>
    </row>
    <row r="3576" spans="2:13" ht="33.75" outlineLevel="3" x14ac:dyDescent="0.2">
      <c r="B3576" s="4" t="str">
        <f>"0004050050"</f>
        <v>0004050050</v>
      </c>
      <c r="C3576" s="5" t="str">
        <f>"049680"</f>
        <v>049680</v>
      </c>
      <c r="D3576" s="12" t="s">
        <v>520</v>
      </c>
      <c r="E3576" s="14" t="s">
        <v>82</v>
      </c>
      <c r="F3576" s="12" t="s">
        <v>3</v>
      </c>
      <c r="G3576" s="15">
        <v>50</v>
      </c>
      <c r="H3576" s="12" t="s">
        <v>518</v>
      </c>
      <c r="I3576" s="12" t="s">
        <v>521</v>
      </c>
      <c r="K3576" s="16">
        <v>28.5</v>
      </c>
      <c r="L3576" s="16">
        <v>43.34</v>
      </c>
      <c r="M3576" s="16">
        <v>45.34</v>
      </c>
    </row>
    <row r="3577" spans="2:13" ht="33.75" outlineLevel="3" x14ac:dyDescent="0.2">
      <c r="B3577" s="4" t="str">
        <f>"0004050050"</f>
        <v>0004050050</v>
      </c>
      <c r="C3577" s="5" t="str">
        <f>"398485"</f>
        <v>398485</v>
      </c>
      <c r="D3577" s="12" t="s">
        <v>527</v>
      </c>
      <c r="E3577" s="14" t="s">
        <v>82</v>
      </c>
      <c r="F3577" s="12" t="s">
        <v>3</v>
      </c>
      <c r="G3577" s="15">
        <v>50</v>
      </c>
      <c r="H3577" s="12" t="s">
        <v>518</v>
      </c>
      <c r="I3577" s="12" t="s">
        <v>28</v>
      </c>
      <c r="K3577" s="16">
        <v>28.5</v>
      </c>
      <c r="L3577" s="16">
        <v>43.34</v>
      </c>
      <c r="M3577" s="16">
        <v>45.34</v>
      </c>
    </row>
    <row r="3578" spans="2:13" ht="33.75" outlineLevel="3" x14ac:dyDescent="0.2">
      <c r="B3578" s="4" t="str">
        <f>"0004050056"</f>
        <v>0004050056</v>
      </c>
      <c r="C3578" s="5" t="str">
        <f>"575769"</f>
        <v>575769</v>
      </c>
      <c r="D3578" s="12" t="s">
        <v>528</v>
      </c>
      <c r="E3578" s="14" t="s">
        <v>82</v>
      </c>
      <c r="F3578" s="12" t="s">
        <v>3</v>
      </c>
      <c r="G3578" s="15">
        <v>56</v>
      </c>
      <c r="H3578" s="12" t="s">
        <v>518</v>
      </c>
      <c r="I3578" s="12" t="s">
        <v>529</v>
      </c>
      <c r="K3578" s="16">
        <v>4.38</v>
      </c>
      <c r="L3578" s="16">
        <v>6.99</v>
      </c>
      <c r="M3578" s="16">
        <v>5.17</v>
      </c>
    </row>
    <row r="3579" spans="2:13" ht="33.75" outlineLevel="3" x14ac:dyDescent="0.2">
      <c r="B3579" s="4" t="str">
        <f>"0004050056"</f>
        <v>0004050056</v>
      </c>
      <c r="C3579" s="5" t="str">
        <f>"190291"</f>
        <v>190291</v>
      </c>
      <c r="D3579" s="12" t="s">
        <v>522</v>
      </c>
      <c r="E3579" s="14" t="s">
        <v>82</v>
      </c>
      <c r="F3579" s="12" t="s">
        <v>3</v>
      </c>
      <c r="G3579" s="15">
        <v>56</v>
      </c>
      <c r="H3579" s="12" t="s">
        <v>518</v>
      </c>
      <c r="I3579" s="12" t="s">
        <v>60</v>
      </c>
      <c r="K3579" s="16">
        <v>2.2999999999999998</v>
      </c>
      <c r="L3579" s="16">
        <v>3.67</v>
      </c>
      <c r="M3579" s="16">
        <v>5.17</v>
      </c>
    </row>
    <row r="3580" spans="2:13" outlineLevel="2" x14ac:dyDescent="0.2"/>
    <row r="3581" spans="2:13" ht="33.75" outlineLevel="3" x14ac:dyDescent="0.2">
      <c r="B3581" s="4" t="str">
        <f t="shared" ref="B3581:B3591" si="122">"0004050100"</f>
        <v>0004050100</v>
      </c>
      <c r="C3581" s="5" t="str">
        <f>"010334"</f>
        <v>010334</v>
      </c>
      <c r="D3581" s="12" t="s">
        <v>519</v>
      </c>
      <c r="E3581" s="14" t="s">
        <v>82</v>
      </c>
      <c r="F3581" s="12" t="s">
        <v>3</v>
      </c>
      <c r="G3581" s="15">
        <v>100</v>
      </c>
      <c r="H3581" s="12" t="s">
        <v>518</v>
      </c>
      <c r="I3581" s="12" t="s">
        <v>492</v>
      </c>
      <c r="K3581" s="16">
        <v>56.65</v>
      </c>
      <c r="L3581" s="16">
        <v>83.99</v>
      </c>
      <c r="M3581" s="16">
        <v>8.07</v>
      </c>
    </row>
    <row r="3582" spans="2:13" ht="33.75" outlineLevel="3" x14ac:dyDescent="0.2">
      <c r="B3582" s="4" t="str">
        <f t="shared" si="122"/>
        <v>0004050100</v>
      </c>
      <c r="C3582" s="5" t="str">
        <f>"163826"</f>
        <v>163826</v>
      </c>
      <c r="D3582" s="12" t="s">
        <v>517</v>
      </c>
      <c r="E3582" s="14" t="s">
        <v>82</v>
      </c>
      <c r="F3582" s="12" t="s">
        <v>3</v>
      </c>
      <c r="G3582" s="15">
        <v>98</v>
      </c>
      <c r="H3582" s="12" t="s">
        <v>518</v>
      </c>
      <c r="I3582" s="12" t="s">
        <v>355</v>
      </c>
      <c r="K3582" s="16">
        <v>8.39</v>
      </c>
      <c r="L3582" s="16">
        <v>13.39</v>
      </c>
      <c r="M3582" s="16">
        <v>8.07</v>
      </c>
    </row>
    <row r="3583" spans="2:13" ht="33.75" outlineLevel="3" x14ac:dyDescent="0.2">
      <c r="B3583" s="4" t="str">
        <f t="shared" si="122"/>
        <v>0004050100</v>
      </c>
      <c r="C3583" s="5" t="str">
        <f>"043318"</f>
        <v>043318</v>
      </c>
      <c r="D3583" s="12" t="s">
        <v>527</v>
      </c>
      <c r="E3583" s="14" t="s">
        <v>82</v>
      </c>
      <c r="F3583" s="12" t="s">
        <v>3</v>
      </c>
      <c r="G3583" s="15">
        <v>100</v>
      </c>
      <c r="H3583" s="12" t="s">
        <v>518</v>
      </c>
      <c r="I3583" s="12" t="s">
        <v>28</v>
      </c>
      <c r="K3583" s="16">
        <v>6.38</v>
      </c>
      <c r="L3583" s="16">
        <v>10.18</v>
      </c>
      <c r="M3583" s="16">
        <v>8.07</v>
      </c>
    </row>
    <row r="3584" spans="2:13" ht="33.75" outlineLevel="3" x14ac:dyDescent="0.2">
      <c r="B3584" s="4" t="str">
        <f t="shared" si="122"/>
        <v>0004050100</v>
      </c>
      <c r="C3584" s="5" t="str">
        <f>"144107"</f>
        <v>144107</v>
      </c>
      <c r="D3584" s="12" t="s">
        <v>525</v>
      </c>
      <c r="E3584" s="14" t="s">
        <v>82</v>
      </c>
      <c r="F3584" s="12" t="s">
        <v>3</v>
      </c>
      <c r="G3584" s="15">
        <v>98</v>
      </c>
      <c r="H3584" s="12" t="s">
        <v>518</v>
      </c>
      <c r="I3584" s="12" t="s">
        <v>526</v>
      </c>
      <c r="K3584" s="16">
        <v>6.38</v>
      </c>
      <c r="L3584" s="16">
        <v>10.18</v>
      </c>
      <c r="M3584" s="16">
        <v>8.07</v>
      </c>
    </row>
    <row r="3585" spans="2:13" ht="33.75" outlineLevel="3" x14ac:dyDescent="0.2">
      <c r="B3585" s="4" t="str">
        <f t="shared" si="122"/>
        <v>0004050100</v>
      </c>
      <c r="C3585" s="5" t="str">
        <f>"195147"</f>
        <v>195147</v>
      </c>
      <c r="D3585" s="12" t="s">
        <v>528</v>
      </c>
      <c r="E3585" s="14" t="s">
        <v>82</v>
      </c>
      <c r="F3585" s="12" t="s">
        <v>3</v>
      </c>
      <c r="G3585" s="15">
        <v>98</v>
      </c>
      <c r="H3585" s="12" t="s">
        <v>518</v>
      </c>
      <c r="I3585" s="12" t="s">
        <v>529</v>
      </c>
      <c r="K3585" s="16">
        <v>6.38</v>
      </c>
      <c r="L3585" s="16">
        <v>10.18</v>
      </c>
      <c r="M3585" s="16">
        <v>8.07</v>
      </c>
    </row>
    <row r="3586" spans="2:13" ht="33.75" outlineLevel="3" x14ac:dyDescent="0.2">
      <c r="B3586" s="4" t="str">
        <f t="shared" si="122"/>
        <v>0004050100</v>
      </c>
      <c r="C3586" s="5" t="str">
        <f>"433171"</f>
        <v>433171</v>
      </c>
      <c r="D3586" s="12" t="s">
        <v>527</v>
      </c>
      <c r="E3586" s="14" t="s">
        <v>82</v>
      </c>
      <c r="F3586" s="12" t="s">
        <v>3</v>
      </c>
      <c r="G3586" s="15">
        <v>100</v>
      </c>
      <c r="H3586" s="12" t="s">
        <v>518</v>
      </c>
      <c r="I3586" s="12" t="s">
        <v>28</v>
      </c>
      <c r="K3586" s="16">
        <v>6.38</v>
      </c>
      <c r="L3586" s="16">
        <v>10.18</v>
      </c>
      <c r="M3586" s="16">
        <v>8.07</v>
      </c>
    </row>
    <row r="3587" spans="2:13" ht="33.75" outlineLevel="3" x14ac:dyDescent="0.2">
      <c r="B3587" s="4" t="str">
        <f t="shared" si="122"/>
        <v>0004050100</v>
      </c>
      <c r="C3587" s="5" t="str">
        <f>"434091"</f>
        <v>434091</v>
      </c>
      <c r="D3587" s="12" t="s">
        <v>520</v>
      </c>
      <c r="E3587" s="14" t="s">
        <v>82</v>
      </c>
      <c r="F3587" s="12" t="s">
        <v>3</v>
      </c>
      <c r="G3587" s="15">
        <v>100</v>
      </c>
      <c r="H3587" s="12" t="s">
        <v>518</v>
      </c>
      <c r="I3587" s="12" t="s">
        <v>521</v>
      </c>
      <c r="K3587" s="16">
        <v>6.38</v>
      </c>
      <c r="L3587" s="16">
        <v>10.18</v>
      </c>
      <c r="M3587" s="16">
        <v>8.07</v>
      </c>
    </row>
    <row r="3588" spans="2:13" ht="33.75" outlineLevel="3" x14ac:dyDescent="0.2">
      <c r="B3588" s="4" t="str">
        <f t="shared" si="122"/>
        <v>0004050100</v>
      </c>
      <c r="C3588" s="5" t="str">
        <f>"437774"</f>
        <v>437774</v>
      </c>
      <c r="D3588" s="12" t="s">
        <v>530</v>
      </c>
      <c r="E3588" s="14" t="s">
        <v>82</v>
      </c>
      <c r="F3588" s="12" t="s">
        <v>3</v>
      </c>
      <c r="G3588" s="15">
        <v>98</v>
      </c>
      <c r="H3588" s="12" t="s">
        <v>518</v>
      </c>
      <c r="I3588" s="12" t="s">
        <v>68</v>
      </c>
      <c r="K3588" s="16">
        <v>6.38</v>
      </c>
      <c r="L3588" s="16">
        <v>10.18</v>
      </c>
      <c r="M3588" s="16">
        <v>8.07</v>
      </c>
    </row>
    <row r="3589" spans="2:13" ht="33.75" outlineLevel="3" x14ac:dyDescent="0.2">
      <c r="B3589" s="4" t="str">
        <f t="shared" si="122"/>
        <v>0004050100</v>
      </c>
      <c r="C3589" s="5" t="str">
        <f>"463251"</f>
        <v>463251</v>
      </c>
      <c r="D3589" s="12" t="s">
        <v>523</v>
      </c>
      <c r="E3589" s="14" t="s">
        <v>82</v>
      </c>
      <c r="F3589" s="12" t="s">
        <v>3</v>
      </c>
      <c r="G3589" s="15">
        <v>100</v>
      </c>
      <c r="H3589" s="12" t="s">
        <v>518</v>
      </c>
      <c r="I3589" s="12" t="s">
        <v>5</v>
      </c>
      <c r="K3589" s="16">
        <v>6.38</v>
      </c>
      <c r="L3589" s="16">
        <v>10.18</v>
      </c>
      <c r="M3589" s="16">
        <v>8.07</v>
      </c>
    </row>
    <row r="3590" spans="2:13" ht="33.75" outlineLevel="3" x14ac:dyDescent="0.2">
      <c r="B3590" s="4" t="str">
        <f t="shared" si="122"/>
        <v>0004050100</v>
      </c>
      <c r="C3590" s="5" t="str">
        <f>"375304"</f>
        <v>375304</v>
      </c>
      <c r="D3590" s="12" t="s">
        <v>522</v>
      </c>
      <c r="E3590" s="14" t="s">
        <v>82</v>
      </c>
      <c r="F3590" s="12" t="s">
        <v>3</v>
      </c>
      <c r="G3590" s="15">
        <v>100</v>
      </c>
      <c r="H3590" s="12" t="s">
        <v>518</v>
      </c>
      <c r="I3590" s="12" t="s">
        <v>60</v>
      </c>
      <c r="K3590" s="16">
        <v>5</v>
      </c>
      <c r="L3590" s="16">
        <v>7.98</v>
      </c>
      <c r="M3590" s="16">
        <v>8.07</v>
      </c>
    </row>
    <row r="3591" spans="2:13" ht="33.75" outlineLevel="3" x14ac:dyDescent="0.2">
      <c r="B3591" s="4" t="str">
        <f t="shared" si="122"/>
        <v>0004050100</v>
      </c>
      <c r="C3591" s="5" t="str">
        <f>"139495"</f>
        <v>139495</v>
      </c>
      <c r="D3591" s="12" t="s">
        <v>524</v>
      </c>
      <c r="E3591" s="14" t="s">
        <v>82</v>
      </c>
      <c r="F3591" s="12" t="s">
        <v>3</v>
      </c>
      <c r="G3591" s="15">
        <v>98</v>
      </c>
      <c r="H3591" s="12" t="s">
        <v>518</v>
      </c>
      <c r="I3591" s="12" t="s">
        <v>79</v>
      </c>
      <c r="K3591" s="16">
        <v>4.12</v>
      </c>
      <c r="L3591" s="16">
        <v>6.57</v>
      </c>
      <c r="M3591" s="16">
        <v>8.07</v>
      </c>
    </row>
    <row r="3592" spans="2:13" outlineLevel="2" x14ac:dyDescent="0.2"/>
    <row r="3593" spans="2:13" ht="33.75" outlineLevel="3" x14ac:dyDescent="0.2">
      <c r="B3593" s="4" t="str">
        <f>"0004050112"</f>
        <v>0004050112</v>
      </c>
      <c r="C3593" s="5" t="str">
        <f>"456315"</f>
        <v>456315</v>
      </c>
      <c r="D3593" s="12" t="s">
        <v>531</v>
      </c>
      <c r="E3593" s="14" t="s">
        <v>82</v>
      </c>
      <c r="F3593" s="12" t="s">
        <v>3</v>
      </c>
      <c r="G3593" s="15">
        <v>112</v>
      </c>
      <c r="H3593" s="12" t="s">
        <v>518</v>
      </c>
      <c r="I3593" s="12" t="s">
        <v>70</v>
      </c>
      <c r="K3593" s="16">
        <v>15.63</v>
      </c>
      <c r="L3593" s="16">
        <v>24.22</v>
      </c>
      <c r="M3593" s="16">
        <v>25.72</v>
      </c>
    </row>
    <row r="3594" spans="2:13" outlineLevel="2" x14ac:dyDescent="0.2"/>
    <row r="3595" spans="2:13" ht="33.75" outlineLevel="3" x14ac:dyDescent="0.2">
      <c r="B3595" s="4" t="str">
        <f>"0004060050"</f>
        <v>0004060050</v>
      </c>
      <c r="C3595" s="5" t="str">
        <f>"010290"</f>
        <v>010290</v>
      </c>
      <c r="D3595" s="12" t="s">
        <v>519</v>
      </c>
      <c r="E3595" s="14" t="s">
        <v>532</v>
      </c>
      <c r="F3595" s="12" t="s">
        <v>34</v>
      </c>
      <c r="G3595" s="15" t="s">
        <v>256</v>
      </c>
      <c r="H3595" s="12" t="s">
        <v>518</v>
      </c>
      <c r="I3595" s="12" t="s">
        <v>492</v>
      </c>
      <c r="K3595" s="16">
        <v>28.5</v>
      </c>
      <c r="L3595" s="16">
        <v>43.34</v>
      </c>
      <c r="M3595" s="16">
        <v>35.18</v>
      </c>
    </row>
    <row r="3596" spans="2:13" ht="33.75" outlineLevel="3" x14ac:dyDescent="0.2">
      <c r="B3596" s="4" t="str">
        <f>"0004060050"</f>
        <v>0004060050</v>
      </c>
      <c r="C3596" s="5" t="str">
        <f>"485741"</f>
        <v>485741</v>
      </c>
      <c r="D3596" s="12" t="s">
        <v>520</v>
      </c>
      <c r="E3596" s="14" t="s">
        <v>532</v>
      </c>
      <c r="F3596" s="12" t="s">
        <v>34</v>
      </c>
      <c r="G3596" s="15" t="s">
        <v>256</v>
      </c>
      <c r="H3596" s="12" t="s">
        <v>518</v>
      </c>
      <c r="I3596" s="12" t="s">
        <v>521</v>
      </c>
      <c r="K3596" s="16">
        <v>23.01</v>
      </c>
      <c r="L3596" s="16">
        <v>35.18</v>
      </c>
      <c r="M3596" s="16">
        <v>35.18</v>
      </c>
    </row>
    <row r="3597" spans="2:13" ht="22.5" outlineLevel="3" x14ac:dyDescent="0.2">
      <c r="B3597" s="4" t="str">
        <f>"0004060050"</f>
        <v>0004060050</v>
      </c>
      <c r="C3597" s="5" t="str">
        <f>"177251"</f>
        <v>177251</v>
      </c>
      <c r="D3597" s="12" t="s">
        <v>533</v>
      </c>
      <c r="E3597" s="14" t="s">
        <v>534</v>
      </c>
      <c r="F3597" s="12" t="s">
        <v>34</v>
      </c>
      <c r="G3597" s="15" t="s">
        <v>256</v>
      </c>
      <c r="H3597" s="12" t="s">
        <v>518</v>
      </c>
      <c r="I3597" s="12" t="s">
        <v>60</v>
      </c>
      <c r="K3597" s="16">
        <v>22</v>
      </c>
      <c r="L3597" s="16">
        <v>33.68</v>
      </c>
      <c r="M3597" s="16">
        <v>35.18</v>
      </c>
    </row>
    <row r="3598" spans="2:13" outlineLevel="2" x14ac:dyDescent="0.2"/>
    <row r="3599" spans="2:13" ht="33.75" outlineLevel="3" x14ac:dyDescent="0.2">
      <c r="B3599" s="4" t="str">
        <f t="shared" ref="B3599:B3607" si="123">"0009890030"</f>
        <v>0009890030</v>
      </c>
      <c r="C3599" s="5" t="str">
        <f>"151518"</f>
        <v>151518</v>
      </c>
      <c r="D3599" s="12" t="s">
        <v>519</v>
      </c>
      <c r="E3599" s="14" t="s">
        <v>14</v>
      </c>
      <c r="F3599" s="12" t="s">
        <v>3</v>
      </c>
      <c r="G3599" s="15">
        <v>28</v>
      </c>
      <c r="H3599" s="12" t="s">
        <v>518</v>
      </c>
      <c r="I3599" s="12" t="s">
        <v>492</v>
      </c>
      <c r="K3599" s="16">
        <v>31.92</v>
      </c>
      <c r="L3599" s="16">
        <v>48.41</v>
      </c>
      <c r="M3599" s="16">
        <v>4.45</v>
      </c>
    </row>
    <row r="3600" spans="2:13" ht="33.75" outlineLevel="3" x14ac:dyDescent="0.2">
      <c r="B3600" s="4" t="str">
        <f t="shared" si="123"/>
        <v>0009890030</v>
      </c>
      <c r="C3600" s="5" t="str">
        <f>"440284"</f>
        <v>440284</v>
      </c>
      <c r="D3600" s="12" t="s">
        <v>517</v>
      </c>
      <c r="E3600" s="14" t="s">
        <v>14</v>
      </c>
      <c r="F3600" s="12" t="s">
        <v>3</v>
      </c>
      <c r="G3600" s="15">
        <v>28</v>
      </c>
      <c r="H3600" s="12" t="s">
        <v>518</v>
      </c>
      <c r="I3600" s="12" t="s">
        <v>355</v>
      </c>
      <c r="J3600" s="2" t="s">
        <v>1400</v>
      </c>
      <c r="K3600" s="16">
        <v>2.2999999999999998</v>
      </c>
      <c r="L3600" s="16">
        <v>3.67</v>
      </c>
      <c r="M3600" s="16">
        <v>4.45</v>
      </c>
    </row>
    <row r="3601" spans="2:13" ht="33.75" outlineLevel="3" x14ac:dyDescent="0.2">
      <c r="B3601" s="4" t="str">
        <f t="shared" si="123"/>
        <v>0009890030</v>
      </c>
      <c r="C3601" s="5" t="str">
        <f>"408509"</f>
        <v>408509</v>
      </c>
      <c r="D3601" s="12" t="s">
        <v>525</v>
      </c>
      <c r="E3601" s="14" t="s">
        <v>14</v>
      </c>
      <c r="F3601" s="12" t="s">
        <v>3</v>
      </c>
      <c r="G3601" s="15">
        <v>28</v>
      </c>
      <c r="H3601" s="12" t="s">
        <v>518</v>
      </c>
      <c r="I3601" s="12" t="s">
        <v>526</v>
      </c>
      <c r="J3601" s="2" t="s">
        <v>1400</v>
      </c>
      <c r="K3601" s="16">
        <v>2.04</v>
      </c>
      <c r="L3601" s="16">
        <v>3.26</v>
      </c>
      <c r="M3601" s="16">
        <v>4.45</v>
      </c>
    </row>
    <row r="3602" spans="2:13" ht="33.75" outlineLevel="3" x14ac:dyDescent="0.2">
      <c r="B3602" s="4" t="str">
        <f t="shared" si="123"/>
        <v>0009890030</v>
      </c>
      <c r="C3602" s="5" t="str">
        <f>"092517"</f>
        <v>092517</v>
      </c>
      <c r="D3602" s="12" t="s">
        <v>528</v>
      </c>
      <c r="E3602" s="14" t="s">
        <v>14</v>
      </c>
      <c r="F3602" s="12" t="s">
        <v>3</v>
      </c>
      <c r="G3602" s="15">
        <v>28</v>
      </c>
      <c r="H3602" s="12" t="s">
        <v>518</v>
      </c>
      <c r="I3602" s="12" t="s">
        <v>529</v>
      </c>
      <c r="K3602" s="16">
        <v>2.04</v>
      </c>
      <c r="L3602" s="16">
        <v>3.26</v>
      </c>
      <c r="M3602" s="16">
        <v>4.45</v>
      </c>
    </row>
    <row r="3603" spans="2:13" ht="33.75" outlineLevel="3" x14ac:dyDescent="0.2">
      <c r="B3603" s="4" t="str">
        <f t="shared" si="123"/>
        <v>0009890030</v>
      </c>
      <c r="C3603" s="5" t="str">
        <f>"199220"</f>
        <v>199220</v>
      </c>
      <c r="D3603" s="12" t="s">
        <v>527</v>
      </c>
      <c r="E3603" s="14" t="s">
        <v>14</v>
      </c>
      <c r="F3603" s="12" t="s">
        <v>3</v>
      </c>
      <c r="G3603" s="15">
        <v>28</v>
      </c>
      <c r="H3603" s="12" t="s">
        <v>518</v>
      </c>
      <c r="I3603" s="12" t="s">
        <v>104</v>
      </c>
      <c r="K3603" s="16">
        <v>2.04</v>
      </c>
      <c r="L3603" s="16">
        <v>3.26</v>
      </c>
      <c r="M3603" s="16">
        <v>4.45</v>
      </c>
    </row>
    <row r="3604" spans="2:13" ht="33.75" outlineLevel="3" x14ac:dyDescent="0.2">
      <c r="B3604" s="4" t="str">
        <f t="shared" si="123"/>
        <v>0009890030</v>
      </c>
      <c r="C3604" s="5" t="str">
        <f>"380833"</f>
        <v>380833</v>
      </c>
      <c r="D3604" s="12" t="s">
        <v>523</v>
      </c>
      <c r="E3604" s="14" t="s">
        <v>14</v>
      </c>
      <c r="F3604" s="12" t="s">
        <v>3</v>
      </c>
      <c r="G3604" s="15">
        <v>30</v>
      </c>
      <c r="H3604" s="12" t="s">
        <v>518</v>
      </c>
      <c r="I3604" s="12" t="s">
        <v>5</v>
      </c>
      <c r="K3604" s="16">
        <v>2.04</v>
      </c>
      <c r="L3604" s="16">
        <v>3.26</v>
      </c>
      <c r="M3604" s="16">
        <v>4.45</v>
      </c>
    </row>
    <row r="3605" spans="2:13" ht="33.75" outlineLevel="3" x14ac:dyDescent="0.2">
      <c r="B3605" s="4" t="str">
        <f t="shared" si="123"/>
        <v>0009890030</v>
      </c>
      <c r="C3605" s="5" t="str">
        <f>"483903"</f>
        <v>483903</v>
      </c>
      <c r="D3605" s="12" t="s">
        <v>522</v>
      </c>
      <c r="E3605" s="14" t="s">
        <v>14</v>
      </c>
      <c r="F3605" s="12" t="s">
        <v>3</v>
      </c>
      <c r="G3605" s="15">
        <v>28</v>
      </c>
      <c r="H3605" s="12" t="s">
        <v>518</v>
      </c>
      <c r="I3605" s="12" t="s">
        <v>60</v>
      </c>
      <c r="K3605" s="16">
        <v>2.04</v>
      </c>
      <c r="L3605" s="16">
        <v>3.26</v>
      </c>
      <c r="M3605" s="16">
        <v>4.45</v>
      </c>
    </row>
    <row r="3606" spans="2:13" ht="33.75" outlineLevel="3" x14ac:dyDescent="0.2">
      <c r="B3606" s="4" t="str">
        <f t="shared" si="123"/>
        <v>0009890030</v>
      </c>
      <c r="C3606" s="5" t="str">
        <f>"549255"</f>
        <v>549255</v>
      </c>
      <c r="D3606" s="12" t="s">
        <v>520</v>
      </c>
      <c r="E3606" s="14" t="s">
        <v>14</v>
      </c>
      <c r="F3606" s="12" t="s">
        <v>3</v>
      </c>
      <c r="G3606" s="15">
        <v>28</v>
      </c>
      <c r="H3606" s="12" t="s">
        <v>518</v>
      </c>
      <c r="I3606" s="12" t="s">
        <v>521</v>
      </c>
      <c r="K3606" s="16">
        <v>2.04</v>
      </c>
      <c r="L3606" s="16">
        <v>3.26</v>
      </c>
      <c r="M3606" s="16">
        <v>4.45</v>
      </c>
    </row>
    <row r="3607" spans="2:13" ht="33.75" outlineLevel="3" x14ac:dyDescent="0.2">
      <c r="B3607" s="4" t="str">
        <f t="shared" si="123"/>
        <v>0009890030</v>
      </c>
      <c r="C3607" s="5" t="str">
        <f>"194091"</f>
        <v>194091</v>
      </c>
      <c r="D3607" s="12" t="s">
        <v>524</v>
      </c>
      <c r="E3607" s="14" t="s">
        <v>14</v>
      </c>
      <c r="F3607" s="12" t="s">
        <v>3</v>
      </c>
      <c r="G3607" s="15">
        <v>28</v>
      </c>
      <c r="H3607" s="12" t="s">
        <v>518</v>
      </c>
      <c r="I3607" s="12" t="s">
        <v>79</v>
      </c>
      <c r="K3607" s="16">
        <v>1.85</v>
      </c>
      <c r="L3607" s="16">
        <v>2.95</v>
      </c>
      <c r="M3607" s="16">
        <v>4.45</v>
      </c>
    </row>
    <row r="3608" spans="2:13" outlineLevel="2" x14ac:dyDescent="0.2"/>
    <row r="3609" spans="2:13" ht="33.75" outlineLevel="3" x14ac:dyDescent="0.2">
      <c r="B3609" s="4" t="str">
        <f t="shared" ref="B3609:B3620" si="124">"0009890100"</f>
        <v>0009890100</v>
      </c>
      <c r="C3609" s="5" t="str">
        <f>"151529"</f>
        <v>151529</v>
      </c>
      <c r="D3609" s="12" t="s">
        <v>519</v>
      </c>
      <c r="E3609" s="14" t="s">
        <v>14</v>
      </c>
      <c r="F3609" s="12" t="s">
        <v>3</v>
      </c>
      <c r="G3609" s="15">
        <v>98</v>
      </c>
      <c r="H3609" s="12" t="s">
        <v>518</v>
      </c>
      <c r="I3609" s="12" t="s">
        <v>492</v>
      </c>
      <c r="K3609" s="16">
        <v>111.03</v>
      </c>
      <c r="L3609" s="16">
        <v>157.63999999999999</v>
      </c>
      <c r="M3609" s="16">
        <v>12.42</v>
      </c>
    </row>
    <row r="3610" spans="2:13" ht="33.75" outlineLevel="3" x14ac:dyDescent="0.2">
      <c r="B3610" s="4" t="str">
        <f t="shared" si="124"/>
        <v>0009890100</v>
      </c>
      <c r="C3610" s="5" t="str">
        <f>"463883"</f>
        <v>463883</v>
      </c>
      <c r="D3610" s="12" t="s">
        <v>519</v>
      </c>
      <c r="E3610" s="14" t="s">
        <v>14</v>
      </c>
      <c r="F3610" s="12" t="s">
        <v>3</v>
      </c>
      <c r="G3610" s="15">
        <v>98</v>
      </c>
      <c r="H3610" s="12" t="s">
        <v>518</v>
      </c>
      <c r="I3610" s="12" t="s">
        <v>75</v>
      </c>
      <c r="J3610" s="2" t="s">
        <v>1400</v>
      </c>
      <c r="K3610" s="16">
        <v>13.06</v>
      </c>
      <c r="L3610" s="16">
        <v>20.41</v>
      </c>
      <c r="M3610" s="16">
        <v>12.42</v>
      </c>
    </row>
    <row r="3611" spans="2:13" ht="33.75" outlineLevel="3" x14ac:dyDescent="0.2">
      <c r="B3611" s="4" t="str">
        <f t="shared" si="124"/>
        <v>0009890100</v>
      </c>
      <c r="C3611" s="5" t="str">
        <f>"129211"</f>
        <v>129211</v>
      </c>
      <c r="D3611" s="12" t="s">
        <v>527</v>
      </c>
      <c r="E3611" s="14" t="s">
        <v>14</v>
      </c>
      <c r="F3611" s="12" t="s">
        <v>3</v>
      </c>
      <c r="G3611" s="15">
        <v>100</v>
      </c>
      <c r="H3611" s="12" t="s">
        <v>518</v>
      </c>
      <c r="I3611" s="12" t="s">
        <v>104</v>
      </c>
      <c r="K3611" s="16">
        <v>9.06</v>
      </c>
      <c r="L3611" s="16">
        <v>14.45</v>
      </c>
      <c r="M3611" s="16">
        <v>12.42</v>
      </c>
    </row>
    <row r="3612" spans="2:13" ht="33.75" outlineLevel="3" x14ac:dyDescent="0.2">
      <c r="B3612" s="4" t="str">
        <f t="shared" si="124"/>
        <v>0009890100</v>
      </c>
      <c r="C3612" s="5" t="str">
        <f>"186790"</f>
        <v>186790</v>
      </c>
      <c r="D3612" s="12" t="s">
        <v>523</v>
      </c>
      <c r="E3612" s="14" t="s">
        <v>14</v>
      </c>
      <c r="F3612" s="12" t="s">
        <v>3</v>
      </c>
      <c r="G3612" s="15">
        <v>100</v>
      </c>
      <c r="H3612" s="12" t="s">
        <v>518</v>
      </c>
      <c r="I3612" s="12" t="s">
        <v>5</v>
      </c>
      <c r="K3612" s="16">
        <v>9.06</v>
      </c>
      <c r="L3612" s="16">
        <v>14.45</v>
      </c>
      <c r="M3612" s="16">
        <v>12.42</v>
      </c>
    </row>
    <row r="3613" spans="2:13" ht="33.75" outlineLevel="3" x14ac:dyDescent="0.2">
      <c r="B3613" s="4" t="str">
        <f t="shared" si="124"/>
        <v>0009890100</v>
      </c>
      <c r="C3613" s="5" t="str">
        <f>"402395"</f>
        <v>402395</v>
      </c>
      <c r="D3613" s="12" t="s">
        <v>530</v>
      </c>
      <c r="E3613" s="14" t="s">
        <v>14</v>
      </c>
      <c r="F3613" s="12" t="s">
        <v>3</v>
      </c>
      <c r="G3613" s="15">
        <v>98</v>
      </c>
      <c r="H3613" s="12" t="s">
        <v>518</v>
      </c>
      <c r="I3613" s="12" t="s">
        <v>68</v>
      </c>
      <c r="K3613" s="16">
        <v>9.06</v>
      </c>
      <c r="L3613" s="16">
        <v>14.45</v>
      </c>
      <c r="M3613" s="16">
        <v>12.42</v>
      </c>
    </row>
    <row r="3614" spans="2:13" ht="33.75" outlineLevel="3" x14ac:dyDescent="0.2">
      <c r="B3614" s="4" t="str">
        <f t="shared" si="124"/>
        <v>0009890100</v>
      </c>
      <c r="C3614" s="5" t="str">
        <f>"434932"</f>
        <v>434932</v>
      </c>
      <c r="D3614" s="12" t="s">
        <v>517</v>
      </c>
      <c r="E3614" s="14" t="s">
        <v>14</v>
      </c>
      <c r="F3614" s="12" t="s">
        <v>3</v>
      </c>
      <c r="G3614" s="15">
        <v>98</v>
      </c>
      <c r="H3614" s="12" t="s">
        <v>518</v>
      </c>
      <c r="I3614" s="12" t="s">
        <v>355</v>
      </c>
      <c r="K3614" s="16">
        <v>9.06</v>
      </c>
      <c r="L3614" s="16">
        <v>14.45</v>
      </c>
      <c r="M3614" s="16">
        <v>12.42</v>
      </c>
    </row>
    <row r="3615" spans="2:13" ht="33.75" outlineLevel="3" x14ac:dyDescent="0.2">
      <c r="B3615" s="4" t="str">
        <f t="shared" si="124"/>
        <v>0009890100</v>
      </c>
      <c r="C3615" s="5" t="str">
        <f>"573436"</f>
        <v>573436</v>
      </c>
      <c r="D3615" s="12" t="s">
        <v>520</v>
      </c>
      <c r="E3615" s="14" t="s">
        <v>14</v>
      </c>
      <c r="F3615" s="12" t="s">
        <v>3</v>
      </c>
      <c r="G3615" s="15">
        <v>98</v>
      </c>
      <c r="H3615" s="12" t="s">
        <v>518</v>
      </c>
      <c r="I3615" s="12" t="s">
        <v>521</v>
      </c>
      <c r="K3615" s="16">
        <v>9.06</v>
      </c>
      <c r="L3615" s="16">
        <v>14.45</v>
      </c>
      <c r="M3615" s="16">
        <v>12.42</v>
      </c>
    </row>
    <row r="3616" spans="2:13" ht="33.75" outlineLevel="3" x14ac:dyDescent="0.2">
      <c r="B3616" s="4" t="str">
        <f t="shared" si="124"/>
        <v>0009890100</v>
      </c>
      <c r="C3616" s="5" t="str">
        <f>"573890"</f>
        <v>573890</v>
      </c>
      <c r="D3616" s="12" t="s">
        <v>527</v>
      </c>
      <c r="E3616" s="14" t="s">
        <v>14</v>
      </c>
      <c r="F3616" s="12" t="s">
        <v>3</v>
      </c>
      <c r="G3616" s="15">
        <v>98</v>
      </c>
      <c r="H3616" s="12" t="s">
        <v>518</v>
      </c>
      <c r="I3616" s="12" t="s">
        <v>104</v>
      </c>
      <c r="K3616" s="16">
        <v>9.06</v>
      </c>
      <c r="L3616" s="16">
        <v>14.45</v>
      </c>
      <c r="M3616" s="16">
        <v>12.42</v>
      </c>
    </row>
    <row r="3617" spans="1:13" ht="33.75" outlineLevel="3" x14ac:dyDescent="0.2">
      <c r="B3617" s="4" t="str">
        <f t="shared" si="124"/>
        <v>0009890100</v>
      </c>
      <c r="C3617" s="5" t="str">
        <f>"513401"</f>
        <v>513401</v>
      </c>
      <c r="D3617" s="12" t="s">
        <v>525</v>
      </c>
      <c r="E3617" s="14" t="s">
        <v>14</v>
      </c>
      <c r="F3617" s="12" t="s">
        <v>3</v>
      </c>
      <c r="G3617" s="15">
        <v>98</v>
      </c>
      <c r="H3617" s="12" t="s">
        <v>518</v>
      </c>
      <c r="I3617" s="12" t="s">
        <v>526</v>
      </c>
      <c r="J3617" s="2" t="s">
        <v>1400</v>
      </c>
      <c r="K3617" s="16">
        <v>9.0500000000000007</v>
      </c>
      <c r="L3617" s="16">
        <v>14.43</v>
      </c>
      <c r="M3617" s="16">
        <v>12.42</v>
      </c>
    </row>
    <row r="3618" spans="1:13" ht="33.75" outlineLevel="3" x14ac:dyDescent="0.2">
      <c r="B3618" s="4" t="str">
        <f t="shared" si="124"/>
        <v>0009890100</v>
      </c>
      <c r="C3618" s="5" t="str">
        <f>"089399"</f>
        <v>089399</v>
      </c>
      <c r="D3618" s="12" t="s">
        <v>528</v>
      </c>
      <c r="E3618" s="14" t="s">
        <v>14</v>
      </c>
      <c r="F3618" s="12" t="s">
        <v>3</v>
      </c>
      <c r="G3618" s="15">
        <v>98</v>
      </c>
      <c r="H3618" s="12" t="s">
        <v>518</v>
      </c>
      <c r="I3618" s="12" t="s">
        <v>529</v>
      </c>
      <c r="K3618" s="16">
        <v>9.0500000000000007</v>
      </c>
      <c r="L3618" s="16">
        <v>14.43</v>
      </c>
      <c r="M3618" s="16">
        <v>12.42</v>
      </c>
    </row>
    <row r="3619" spans="1:13" ht="33.75" outlineLevel="3" x14ac:dyDescent="0.2">
      <c r="B3619" s="4" t="str">
        <f t="shared" si="124"/>
        <v>0009890100</v>
      </c>
      <c r="C3619" s="5" t="str">
        <f>"406960"</f>
        <v>406960</v>
      </c>
      <c r="D3619" s="12" t="s">
        <v>524</v>
      </c>
      <c r="E3619" s="14" t="s">
        <v>14</v>
      </c>
      <c r="F3619" s="12" t="s">
        <v>3</v>
      </c>
      <c r="G3619" s="15">
        <v>98</v>
      </c>
      <c r="H3619" s="12" t="s">
        <v>518</v>
      </c>
      <c r="I3619" s="12" t="s">
        <v>79</v>
      </c>
      <c r="K3619" s="16">
        <v>7.32</v>
      </c>
      <c r="L3619" s="16">
        <v>11.67</v>
      </c>
      <c r="M3619" s="16">
        <v>12.42</v>
      </c>
    </row>
    <row r="3620" spans="1:13" ht="33.75" outlineLevel="3" x14ac:dyDescent="0.2">
      <c r="B3620" s="4" t="str">
        <f t="shared" si="124"/>
        <v>0009890100</v>
      </c>
      <c r="C3620" s="5" t="str">
        <f>"151037"</f>
        <v>151037</v>
      </c>
      <c r="D3620" s="12" t="s">
        <v>522</v>
      </c>
      <c r="E3620" s="14" t="s">
        <v>14</v>
      </c>
      <c r="F3620" s="12" t="s">
        <v>3</v>
      </c>
      <c r="G3620" s="15">
        <v>98</v>
      </c>
      <c r="H3620" s="12" t="s">
        <v>518</v>
      </c>
      <c r="I3620" s="12" t="s">
        <v>60</v>
      </c>
      <c r="K3620" s="16">
        <v>6.85</v>
      </c>
      <c r="L3620" s="16">
        <v>10.92</v>
      </c>
      <c r="M3620" s="16">
        <v>12.42</v>
      </c>
    </row>
    <row r="3621" spans="1:13" outlineLevel="2" x14ac:dyDescent="0.2"/>
    <row r="3622" spans="1:13" ht="33.75" outlineLevel="3" x14ac:dyDescent="0.2">
      <c r="B3622" s="4" t="str">
        <f>"0009890112"</f>
        <v>0009890112</v>
      </c>
      <c r="C3622" s="5" t="str">
        <f>"186538"</f>
        <v>186538</v>
      </c>
      <c r="D3622" s="12" t="s">
        <v>531</v>
      </c>
      <c r="E3622" s="14" t="s">
        <v>14</v>
      </c>
      <c r="F3622" s="12" t="s">
        <v>3</v>
      </c>
      <c r="G3622" s="15">
        <v>112</v>
      </c>
      <c r="H3622" s="12" t="s">
        <v>518</v>
      </c>
      <c r="I3622" s="12" t="s">
        <v>70</v>
      </c>
      <c r="K3622" s="16">
        <v>23.07</v>
      </c>
      <c r="L3622" s="16">
        <v>35.270000000000003</v>
      </c>
      <c r="M3622" s="16">
        <v>36.770000000000003</v>
      </c>
    </row>
    <row r="3623" spans="1:13" outlineLevel="2" x14ac:dyDescent="0.2"/>
    <row r="3624" spans="1:13" ht="45" outlineLevel="3" x14ac:dyDescent="0.2">
      <c r="B3624" s="4" t="str">
        <f>"0009900028"</f>
        <v>0009900028</v>
      </c>
      <c r="C3624" s="5" t="str">
        <f>"151540"</f>
        <v>151540</v>
      </c>
      <c r="D3624" s="12" t="s">
        <v>1008</v>
      </c>
      <c r="E3624" s="14" t="s">
        <v>1009</v>
      </c>
      <c r="F3624" s="12" t="s">
        <v>3</v>
      </c>
      <c r="G3624" s="15" t="s">
        <v>1010</v>
      </c>
      <c r="H3624" s="12" t="s">
        <v>518</v>
      </c>
      <c r="I3624" s="12" t="s">
        <v>492</v>
      </c>
      <c r="J3624" s="2" t="s">
        <v>1400</v>
      </c>
      <c r="K3624" s="16">
        <v>19.96</v>
      </c>
      <c r="L3624" s="16">
        <v>30.66</v>
      </c>
      <c r="M3624" s="16">
        <v>32.159999999999997</v>
      </c>
    </row>
    <row r="3625" spans="1:13" ht="45" outlineLevel="3" x14ac:dyDescent="0.2">
      <c r="B3625" s="4" t="str">
        <f>"0009900028"</f>
        <v>0009900028</v>
      </c>
      <c r="C3625" s="5" t="str">
        <f>"501215"</f>
        <v>501215</v>
      </c>
      <c r="D3625" s="12" t="s">
        <v>1012</v>
      </c>
      <c r="E3625" s="14" t="s">
        <v>1013</v>
      </c>
      <c r="F3625" s="12" t="s">
        <v>3</v>
      </c>
      <c r="G3625" s="15" t="s">
        <v>1010</v>
      </c>
      <c r="H3625" s="12" t="s">
        <v>518</v>
      </c>
      <c r="I3625" s="12" t="s">
        <v>521</v>
      </c>
      <c r="K3625" s="16">
        <v>19.96</v>
      </c>
      <c r="L3625" s="16">
        <v>30.66</v>
      </c>
      <c r="M3625" s="16">
        <v>32.159999999999997</v>
      </c>
    </row>
    <row r="3626" spans="1:13" ht="45" outlineLevel="3" x14ac:dyDescent="0.2">
      <c r="B3626" s="4" t="str">
        <f>"0009900028"</f>
        <v>0009900028</v>
      </c>
      <c r="C3626" s="5" t="str">
        <f>"598093"</f>
        <v>598093</v>
      </c>
      <c r="D3626" s="12" t="s">
        <v>1014</v>
      </c>
      <c r="E3626" s="14" t="s">
        <v>1009</v>
      </c>
      <c r="F3626" s="12" t="s">
        <v>3</v>
      </c>
      <c r="G3626" s="15" t="s">
        <v>1010</v>
      </c>
      <c r="H3626" s="12" t="s">
        <v>518</v>
      </c>
      <c r="I3626" s="12" t="s">
        <v>5</v>
      </c>
      <c r="K3626" s="16">
        <v>19.96</v>
      </c>
      <c r="L3626" s="16">
        <v>30.66</v>
      </c>
      <c r="M3626" s="16">
        <v>32.159999999999997</v>
      </c>
    </row>
    <row r="3627" spans="1:13" ht="45" outlineLevel="3" x14ac:dyDescent="0.2">
      <c r="B3627" s="4" t="str">
        <f>"0009900028"</f>
        <v>0009900028</v>
      </c>
      <c r="C3627" s="5" t="str">
        <f>"535704"</f>
        <v>535704</v>
      </c>
      <c r="D3627" s="12" t="s">
        <v>1011</v>
      </c>
      <c r="E3627" s="14" t="s">
        <v>1009</v>
      </c>
      <c r="F3627" s="12" t="s">
        <v>3</v>
      </c>
      <c r="G3627" s="15" t="s">
        <v>1010</v>
      </c>
      <c r="H3627" s="12" t="s">
        <v>518</v>
      </c>
      <c r="I3627" s="12" t="s">
        <v>355</v>
      </c>
      <c r="J3627" s="2" t="s">
        <v>1400</v>
      </c>
      <c r="K3627" s="16">
        <v>17</v>
      </c>
      <c r="L3627" s="16">
        <v>26.26</v>
      </c>
      <c r="M3627" s="16">
        <v>32.159999999999997</v>
      </c>
    </row>
    <row r="3628" spans="1:13" outlineLevel="1" x14ac:dyDescent="0.2">
      <c r="A3628" s="3"/>
    </row>
    <row r="3629" spans="1:13" outlineLevel="2" x14ac:dyDescent="0.2">
      <c r="A3629" s="3" t="s">
        <v>1580</v>
      </c>
    </row>
    <row r="3630" spans="1:13" ht="33.75" outlineLevel="3" x14ac:dyDescent="0.2">
      <c r="B3630" s="4" t="str">
        <f>"0004070030"</f>
        <v>0004070030</v>
      </c>
      <c r="C3630" s="5" t="str">
        <f>"597909"</f>
        <v>597909</v>
      </c>
      <c r="D3630" s="12" t="s">
        <v>538</v>
      </c>
      <c r="E3630" s="14" t="s">
        <v>106</v>
      </c>
      <c r="F3630" s="12" t="s">
        <v>3</v>
      </c>
      <c r="G3630" s="15">
        <v>28</v>
      </c>
      <c r="H3630" s="12" t="s">
        <v>536</v>
      </c>
      <c r="I3630" s="12" t="s">
        <v>79</v>
      </c>
      <c r="K3630" s="16">
        <v>23.85</v>
      </c>
      <c r="L3630" s="16">
        <v>36.43</v>
      </c>
      <c r="M3630" s="16">
        <v>37.909999999999997</v>
      </c>
    </row>
    <row r="3631" spans="1:13" ht="33.75" outlineLevel="3" x14ac:dyDescent="0.2">
      <c r="B3631" s="4" t="str">
        <f>"0004070030"</f>
        <v>0004070030</v>
      </c>
      <c r="C3631" s="5" t="str">
        <f>"571329"</f>
        <v>571329</v>
      </c>
      <c r="D3631" s="12" t="s">
        <v>535</v>
      </c>
      <c r="E3631" s="14" t="s">
        <v>106</v>
      </c>
      <c r="F3631" s="12" t="s">
        <v>3</v>
      </c>
      <c r="G3631" s="15">
        <v>28</v>
      </c>
      <c r="H3631" s="12" t="s">
        <v>536</v>
      </c>
      <c r="I3631" s="12" t="s">
        <v>537</v>
      </c>
      <c r="K3631" s="16">
        <v>23.84</v>
      </c>
      <c r="L3631" s="16">
        <v>36.409999999999997</v>
      </c>
      <c r="M3631" s="16">
        <v>37.909999999999997</v>
      </c>
    </row>
    <row r="3632" spans="1:13" outlineLevel="1" x14ac:dyDescent="0.2">
      <c r="A3632" s="3"/>
    </row>
    <row r="3633" spans="1:13" outlineLevel="2" x14ac:dyDescent="0.2">
      <c r="A3633" s="3" t="s">
        <v>1581</v>
      </c>
    </row>
    <row r="3634" spans="1:13" outlineLevel="3" x14ac:dyDescent="0.2">
      <c r="B3634" s="4" t="str">
        <f>"0015740020"</f>
        <v>0015740020</v>
      </c>
      <c r="C3634" s="5" t="str">
        <f>"122547"</f>
        <v>122547</v>
      </c>
      <c r="D3634" s="12" t="s">
        <v>1358</v>
      </c>
      <c r="E3634" s="14" t="s">
        <v>111</v>
      </c>
      <c r="F3634" s="12" t="s">
        <v>73</v>
      </c>
      <c r="G3634" s="15">
        <v>20</v>
      </c>
      <c r="H3634" s="12" t="s">
        <v>1359</v>
      </c>
      <c r="I3634" s="12" t="s">
        <v>1360</v>
      </c>
      <c r="K3634" s="16">
        <v>3.4</v>
      </c>
      <c r="L3634" s="16">
        <v>5.42</v>
      </c>
      <c r="M3634" s="16">
        <v>6.92</v>
      </c>
    </row>
    <row r="3635" spans="1:13" outlineLevel="2" x14ac:dyDescent="0.2"/>
    <row r="3636" spans="1:13" outlineLevel="3" x14ac:dyDescent="0.2">
      <c r="B3636" s="4" t="str">
        <f>"0015740100"</f>
        <v>0015740100</v>
      </c>
      <c r="C3636" s="5" t="str">
        <f>"044442"</f>
        <v>044442</v>
      </c>
      <c r="D3636" s="12" t="s">
        <v>1361</v>
      </c>
      <c r="E3636" s="14" t="s">
        <v>111</v>
      </c>
      <c r="F3636" s="12" t="s">
        <v>73</v>
      </c>
      <c r="G3636" s="15">
        <v>100</v>
      </c>
      <c r="H3636" s="12" t="s">
        <v>1359</v>
      </c>
      <c r="I3636" s="12" t="s">
        <v>39</v>
      </c>
      <c r="K3636" s="16">
        <v>15.33</v>
      </c>
      <c r="L3636" s="16">
        <v>23.78</v>
      </c>
      <c r="M3636" s="16">
        <v>25.14</v>
      </c>
    </row>
    <row r="3637" spans="1:13" outlineLevel="3" x14ac:dyDescent="0.2">
      <c r="B3637" s="4" t="str">
        <f>"0015740100"</f>
        <v>0015740100</v>
      </c>
      <c r="C3637" s="5" t="str">
        <f>"506176"</f>
        <v>506176</v>
      </c>
      <c r="D3637" s="12" t="s">
        <v>1358</v>
      </c>
      <c r="E3637" s="14" t="s">
        <v>111</v>
      </c>
      <c r="F3637" s="12" t="s">
        <v>73</v>
      </c>
      <c r="G3637" s="15">
        <v>100</v>
      </c>
      <c r="H3637" s="12" t="s">
        <v>1359</v>
      </c>
      <c r="I3637" s="12" t="s">
        <v>1360</v>
      </c>
      <c r="K3637" s="16">
        <v>15.24</v>
      </c>
      <c r="L3637" s="16">
        <v>23.64</v>
      </c>
      <c r="M3637" s="16">
        <v>25.14</v>
      </c>
    </row>
    <row r="3638" spans="1:13" outlineLevel="1" x14ac:dyDescent="0.2">
      <c r="A3638" s="3"/>
    </row>
    <row r="3639" spans="1:13" outlineLevel="2" x14ac:dyDescent="0.2">
      <c r="A3639" s="3" t="s">
        <v>1582</v>
      </c>
    </row>
    <row r="3640" spans="1:13" ht="22.5" outlineLevel="3" x14ac:dyDescent="0.2">
      <c r="B3640" s="4" t="str">
        <f>"0004090100"</f>
        <v>0004090100</v>
      </c>
      <c r="C3640" s="5" t="str">
        <f>"090590"</f>
        <v>090590</v>
      </c>
      <c r="D3640" s="12" t="s">
        <v>539</v>
      </c>
      <c r="E3640" s="14" t="s">
        <v>237</v>
      </c>
      <c r="F3640" s="12" t="s">
        <v>73</v>
      </c>
      <c r="G3640" s="15">
        <v>100</v>
      </c>
      <c r="H3640" s="12" t="s">
        <v>540</v>
      </c>
      <c r="I3640" s="12" t="s">
        <v>293</v>
      </c>
      <c r="J3640" s="2" t="s">
        <v>1400</v>
      </c>
      <c r="K3640" s="16">
        <v>11.41</v>
      </c>
      <c r="L3640" s="16">
        <v>17.95</v>
      </c>
      <c r="M3640" s="16">
        <v>17.309999999999999</v>
      </c>
    </row>
    <row r="3641" spans="1:13" outlineLevel="3" x14ac:dyDescent="0.2">
      <c r="B3641" s="4" t="str">
        <f>"0004090100"</f>
        <v>0004090100</v>
      </c>
      <c r="C3641" s="5" t="str">
        <f>"017541"</f>
        <v>017541</v>
      </c>
      <c r="D3641" s="12" t="s">
        <v>541</v>
      </c>
      <c r="E3641" s="14" t="s">
        <v>237</v>
      </c>
      <c r="F3641" s="12" t="s">
        <v>73</v>
      </c>
      <c r="G3641" s="15">
        <v>100</v>
      </c>
      <c r="H3641" s="12" t="s">
        <v>540</v>
      </c>
      <c r="I3641" s="12" t="s">
        <v>41</v>
      </c>
      <c r="K3641" s="16">
        <v>11</v>
      </c>
      <c r="L3641" s="16">
        <v>17.350000000000001</v>
      </c>
      <c r="M3641" s="16">
        <v>17.309999999999999</v>
      </c>
    </row>
    <row r="3642" spans="1:13" outlineLevel="3" x14ac:dyDescent="0.2">
      <c r="B3642" s="4" t="str">
        <f>"0004090100"</f>
        <v>0004090100</v>
      </c>
      <c r="C3642" s="5" t="str">
        <f>"507834"</f>
        <v>507834</v>
      </c>
      <c r="D3642" s="12" t="s">
        <v>543</v>
      </c>
      <c r="E3642" s="14" t="s">
        <v>237</v>
      </c>
      <c r="F3642" s="12" t="s">
        <v>73</v>
      </c>
      <c r="G3642" s="15">
        <v>100</v>
      </c>
      <c r="H3642" s="12" t="s">
        <v>540</v>
      </c>
      <c r="I3642" s="12" t="s">
        <v>6</v>
      </c>
      <c r="K3642" s="16">
        <v>11</v>
      </c>
      <c r="L3642" s="16">
        <v>17.350000000000001</v>
      </c>
      <c r="M3642" s="16">
        <v>17.309999999999999</v>
      </c>
    </row>
    <row r="3643" spans="1:13" ht="22.5" outlineLevel="3" x14ac:dyDescent="0.2">
      <c r="B3643" s="4" t="str">
        <f>"0004090100"</f>
        <v>0004090100</v>
      </c>
      <c r="C3643" s="5" t="str">
        <f>"498828"</f>
        <v>498828</v>
      </c>
      <c r="D3643" s="12" t="s">
        <v>542</v>
      </c>
      <c r="E3643" s="14" t="s">
        <v>237</v>
      </c>
      <c r="F3643" s="12" t="s">
        <v>73</v>
      </c>
      <c r="G3643" s="15">
        <v>100</v>
      </c>
      <c r="H3643" s="12" t="s">
        <v>540</v>
      </c>
      <c r="I3643" s="12" t="s">
        <v>293</v>
      </c>
      <c r="K3643" s="16">
        <v>9.9600000000000009</v>
      </c>
      <c r="L3643" s="16">
        <v>15.81</v>
      </c>
      <c r="M3643" s="16">
        <v>17.309999999999999</v>
      </c>
    </row>
    <row r="3644" spans="1:13" outlineLevel="2" x14ac:dyDescent="0.2"/>
    <row r="3645" spans="1:13" outlineLevel="3" x14ac:dyDescent="0.2">
      <c r="B3645" s="4" t="str">
        <f>"0004100100"</f>
        <v>0004100100</v>
      </c>
      <c r="C3645" s="5" t="str">
        <f>"038877"</f>
        <v>038877</v>
      </c>
      <c r="D3645" s="12" t="s">
        <v>541</v>
      </c>
      <c r="E3645" s="14" t="s">
        <v>544</v>
      </c>
      <c r="F3645" s="12" t="s">
        <v>73</v>
      </c>
      <c r="G3645" s="15">
        <v>100</v>
      </c>
      <c r="H3645" s="12" t="s">
        <v>540</v>
      </c>
      <c r="I3645" s="12" t="s">
        <v>41</v>
      </c>
      <c r="K3645" s="16">
        <v>6.34</v>
      </c>
      <c r="L3645" s="16">
        <v>10.11</v>
      </c>
      <c r="M3645" s="16">
        <v>10.08</v>
      </c>
    </row>
    <row r="3646" spans="1:13" outlineLevel="3" x14ac:dyDescent="0.2">
      <c r="B3646" s="4" t="str">
        <f>"0004100100"</f>
        <v>0004100100</v>
      </c>
      <c r="C3646" s="5" t="str">
        <f>"444574"</f>
        <v>444574</v>
      </c>
      <c r="D3646" s="12" t="s">
        <v>543</v>
      </c>
      <c r="E3646" s="14" t="s">
        <v>544</v>
      </c>
      <c r="F3646" s="12" t="s">
        <v>73</v>
      </c>
      <c r="G3646" s="15">
        <v>100</v>
      </c>
      <c r="H3646" s="12" t="s">
        <v>540</v>
      </c>
      <c r="I3646" s="12" t="s">
        <v>6</v>
      </c>
      <c r="K3646" s="16">
        <v>6.34</v>
      </c>
      <c r="L3646" s="16">
        <v>10.11</v>
      </c>
      <c r="M3646" s="16">
        <v>10.08</v>
      </c>
    </row>
    <row r="3647" spans="1:13" ht="22.5" outlineLevel="3" x14ac:dyDescent="0.2">
      <c r="B3647" s="4" t="str">
        <f>"0004100100"</f>
        <v>0004100100</v>
      </c>
      <c r="C3647" s="5" t="str">
        <f>"090579"</f>
        <v>090579</v>
      </c>
      <c r="D3647" s="12" t="s">
        <v>539</v>
      </c>
      <c r="E3647" s="14" t="s">
        <v>544</v>
      </c>
      <c r="F3647" s="12" t="s">
        <v>73</v>
      </c>
      <c r="G3647" s="15">
        <v>100</v>
      </c>
      <c r="H3647" s="12" t="s">
        <v>540</v>
      </c>
      <c r="I3647" s="12" t="s">
        <v>293</v>
      </c>
      <c r="J3647" s="2" t="s">
        <v>1400</v>
      </c>
      <c r="K3647" s="16">
        <v>5.52</v>
      </c>
      <c r="L3647" s="16">
        <v>8.8000000000000007</v>
      </c>
      <c r="M3647" s="16">
        <v>10.08</v>
      </c>
    </row>
    <row r="3648" spans="1:13" ht="22.5" outlineLevel="3" x14ac:dyDescent="0.2">
      <c r="B3648" s="4" t="str">
        <f>"0004100100"</f>
        <v>0004100100</v>
      </c>
      <c r="C3648" s="5" t="str">
        <f>"456843"</f>
        <v>456843</v>
      </c>
      <c r="D3648" s="12" t="s">
        <v>542</v>
      </c>
      <c r="E3648" s="14" t="s">
        <v>544</v>
      </c>
      <c r="F3648" s="12" t="s">
        <v>73</v>
      </c>
      <c r="G3648" s="15">
        <v>100</v>
      </c>
      <c r="H3648" s="12" t="s">
        <v>540</v>
      </c>
      <c r="I3648" s="12" t="s">
        <v>293</v>
      </c>
      <c r="K3648" s="16">
        <v>5.38</v>
      </c>
      <c r="L3648" s="16">
        <v>8.58</v>
      </c>
      <c r="M3648" s="16">
        <v>10.08</v>
      </c>
    </row>
    <row r="3649" spans="1:13" outlineLevel="2" x14ac:dyDescent="0.2"/>
    <row r="3650" spans="1:13" outlineLevel="3" x14ac:dyDescent="0.2">
      <c r="B3650" s="4" t="str">
        <f>"0014380100"</f>
        <v>0014380100</v>
      </c>
      <c r="C3650" s="5" t="str">
        <f>"020144"</f>
        <v>020144</v>
      </c>
      <c r="D3650" s="12" t="s">
        <v>541</v>
      </c>
      <c r="E3650" s="14" t="s">
        <v>1206</v>
      </c>
      <c r="F3650" s="12" t="s">
        <v>73</v>
      </c>
      <c r="G3650" s="15">
        <v>100</v>
      </c>
      <c r="H3650" s="12" t="s">
        <v>540</v>
      </c>
      <c r="I3650" s="12" t="s">
        <v>41</v>
      </c>
      <c r="K3650" s="16">
        <v>17.739999999999998</v>
      </c>
      <c r="L3650" s="16">
        <v>27.36</v>
      </c>
      <c r="M3650" s="16">
        <v>24.4</v>
      </c>
    </row>
    <row r="3651" spans="1:13" ht="22.5" outlineLevel="3" x14ac:dyDescent="0.2">
      <c r="B3651" s="4" t="str">
        <f>"0014380100"</f>
        <v>0014380100</v>
      </c>
      <c r="C3651" s="5" t="str">
        <f>"085784"</f>
        <v>085784</v>
      </c>
      <c r="D3651" s="12" t="s">
        <v>542</v>
      </c>
      <c r="E3651" s="14" t="s">
        <v>1206</v>
      </c>
      <c r="F3651" s="12" t="s">
        <v>73</v>
      </c>
      <c r="G3651" s="15">
        <v>100</v>
      </c>
      <c r="H3651" s="12" t="s">
        <v>540</v>
      </c>
      <c r="I3651" s="12" t="s">
        <v>293</v>
      </c>
      <c r="K3651" s="16">
        <v>14.74</v>
      </c>
      <c r="L3651" s="16">
        <v>22.9</v>
      </c>
      <c r="M3651" s="16">
        <v>24.4</v>
      </c>
    </row>
    <row r="3652" spans="1:13" outlineLevel="1" x14ac:dyDescent="0.2">
      <c r="A3652" s="3"/>
    </row>
    <row r="3653" spans="1:13" outlineLevel="2" x14ac:dyDescent="0.2">
      <c r="A3653" s="3" t="s">
        <v>1583</v>
      </c>
    </row>
    <row r="3654" spans="1:13" ht="22.5" outlineLevel="3" x14ac:dyDescent="0.2">
      <c r="B3654" s="4" t="str">
        <f>"0014950112"</f>
        <v>0014950112</v>
      </c>
      <c r="C3654" s="5" t="str">
        <f>"579381"</f>
        <v>579381</v>
      </c>
      <c r="D3654" s="12" t="s">
        <v>1322</v>
      </c>
      <c r="E3654" s="14" t="s">
        <v>102</v>
      </c>
      <c r="F3654" s="12" t="s">
        <v>73</v>
      </c>
      <c r="G3654" s="15">
        <v>112</v>
      </c>
      <c r="H3654" s="12" t="s">
        <v>1323</v>
      </c>
      <c r="I3654" s="12" t="s">
        <v>1324</v>
      </c>
      <c r="K3654" s="16">
        <v>175.56</v>
      </c>
      <c r="L3654" s="16">
        <v>239.27</v>
      </c>
      <c r="M3654" s="16">
        <v>241.27</v>
      </c>
    </row>
    <row r="3655" spans="1:13" outlineLevel="1" x14ac:dyDescent="0.2">
      <c r="A3655" s="3"/>
    </row>
    <row r="3656" spans="1:13" outlineLevel="2" x14ac:dyDescent="0.2">
      <c r="A3656" s="3" t="s">
        <v>1584</v>
      </c>
    </row>
    <row r="3657" spans="1:13" ht="33.75" outlineLevel="3" x14ac:dyDescent="0.2">
      <c r="B3657" s="4" t="str">
        <f>"0004120030"</f>
        <v>0004120030</v>
      </c>
      <c r="C3657" s="5" t="str">
        <f>"398800"</f>
        <v>398800</v>
      </c>
      <c r="D3657" s="12" t="s">
        <v>545</v>
      </c>
      <c r="E3657" s="14" t="s">
        <v>337</v>
      </c>
      <c r="F3657" s="12" t="s">
        <v>3</v>
      </c>
      <c r="G3657" s="15">
        <v>30</v>
      </c>
      <c r="H3657" s="12" t="s">
        <v>546</v>
      </c>
      <c r="I3657" s="12" t="s">
        <v>187</v>
      </c>
      <c r="K3657" s="16">
        <v>5.99</v>
      </c>
      <c r="L3657" s="16">
        <v>9.56</v>
      </c>
      <c r="M3657" s="16">
        <v>11.06</v>
      </c>
    </row>
    <row r="3658" spans="1:13" outlineLevel="3" x14ac:dyDescent="0.2">
      <c r="B3658" s="4" t="str">
        <f>"0004120030"</f>
        <v>0004120030</v>
      </c>
      <c r="C3658" s="5" t="str">
        <f>"534263"</f>
        <v>534263</v>
      </c>
      <c r="D3658" s="12" t="s">
        <v>547</v>
      </c>
      <c r="E3658" s="14" t="s">
        <v>337</v>
      </c>
      <c r="F3658" s="12" t="s">
        <v>73</v>
      </c>
      <c r="G3658" s="15">
        <v>30</v>
      </c>
      <c r="H3658" s="12" t="s">
        <v>546</v>
      </c>
      <c r="I3658" s="12" t="s">
        <v>58</v>
      </c>
      <c r="K3658" s="16">
        <v>5.99</v>
      </c>
      <c r="L3658" s="16">
        <v>9.56</v>
      </c>
      <c r="M3658" s="16">
        <v>11.06</v>
      </c>
    </row>
    <row r="3659" spans="1:13" outlineLevel="2" x14ac:dyDescent="0.2"/>
    <row r="3660" spans="1:13" outlineLevel="3" x14ac:dyDescent="0.2">
      <c r="B3660" s="4" t="str">
        <f>"0004120100"</f>
        <v>0004120100</v>
      </c>
      <c r="C3660" s="5" t="str">
        <f>"534271"</f>
        <v>534271</v>
      </c>
      <c r="D3660" s="12" t="s">
        <v>547</v>
      </c>
      <c r="E3660" s="14" t="s">
        <v>337</v>
      </c>
      <c r="F3660" s="12" t="s">
        <v>73</v>
      </c>
      <c r="G3660" s="15">
        <v>100</v>
      </c>
      <c r="H3660" s="12" t="s">
        <v>546</v>
      </c>
      <c r="I3660" s="12" t="s">
        <v>58</v>
      </c>
      <c r="K3660" s="16">
        <v>18.11</v>
      </c>
      <c r="L3660" s="16">
        <v>27.91</v>
      </c>
      <c r="M3660" s="16">
        <v>29.41</v>
      </c>
    </row>
    <row r="3661" spans="1:13" outlineLevel="1" x14ac:dyDescent="0.2">
      <c r="A3661" s="3"/>
    </row>
    <row r="3662" spans="1:13" outlineLevel="2" x14ac:dyDescent="0.2">
      <c r="A3662" s="3" t="s">
        <v>1585</v>
      </c>
    </row>
    <row r="3663" spans="1:13" ht="33.75" outlineLevel="3" x14ac:dyDescent="0.2">
      <c r="B3663" s="4" t="str">
        <f>"0007820015"</f>
        <v>0007820015</v>
      </c>
      <c r="C3663" s="5" t="str">
        <f>"185025"</f>
        <v>185025</v>
      </c>
      <c r="D3663" s="12" t="s">
        <v>852</v>
      </c>
      <c r="E3663" s="14" t="s">
        <v>853</v>
      </c>
      <c r="F3663" s="12" t="s">
        <v>854</v>
      </c>
      <c r="G3663" s="15" t="s">
        <v>855</v>
      </c>
      <c r="H3663" s="12" t="s">
        <v>654</v>
      </c>
      <c r="I3663" s="12" t="s">
        <v>5</v>
      </c>
      <c r="K3663" s="16">
        <v>4.7</v>
      </c>
      <c r="L3663" s="16">
        <v>8.31</v>
      </c>
      <c r="M3663" s="16">
        <v>9.81</v>
      </c>
    </row>
    <row r="3664" spans="1:13" outlineLevel="1" x14ac:dyDescent="0.2">
      <c r="A3664" s="3"/>
    </row>
    <row r="3665" spans="1:13" outlineLevel="2" x14ac:dyDescent="0.2">
      <c r="A3665" s="3" t="s">
        <v>1586</v>
      </c>
    </row>
    <row r="3666" spans="1:13" ht="33.75" outlineLevel="3" x14ac:dyDescent="0.2">
      <c r="B3666" s="4" t="str">
        <f>"0004180150"</f>
        <v>0004180150</v>
      </c>
      <c r="C3666" s="5" t="str">
        <f>"018285"</f>
        <v>018285</v>
      </c>
      <c r="D3666" s="12" t="s">
        <v>548</v>
      </c>
      <c r="E3666" s="14" t="s">
        <v>549</v>
      </c>
      <c r="F3666" s="12" t="s">
        <v>550</v>
      </c>
      <c r="G3666" s="15" t="s">
        <v>551</v>
      </c>
      <c r="H3666" s="12" t="s">
        <v>552</v>
      </c>
      <c r="I3666" s="12" t="s">
        <v>422</v>
      </c>
      <c r="K3666" s="16">
        <v>8.5500000000000007</v>
      </c>
      <c r="L3666" s="16">
        <v>13.64</v>
      </c>
      <c r="M3666" s="16">
        <v>15.14</v>
      </c>
    </row>
    <row r="3667" spans="1:13" ht="33.75" outlineLevel="3" x14ac:dyDescent="0.2">
      <c r="B3667" s="4" t="str">
        <f>"0004180150"</f>
        <v>0004180150</v>
      </c>
      <c r="C3667" s="5" t="str">
        <f>"046724"</f>
        <v>046724</v>
      </c>
      <c r="D3667" s="12" t="s">
        <v>553</v>
      </c>
      <c r="E3667" s="14" t="s">
        <v>549</v>
      </c>
      <c r="F3667" s="12" t="s">
        <v>550</v>
      </c>
      <c r="G3667" s="15" t="s">
        <v>551</v>
      </c>
      <c r="H3667" s="12" t="s">
        <v>552</v>
      </c>
      <c r="I3667" s="12" t="s">
        <v>298</v>
      </c>
      <c r="K3667" s="16">
        <v>8.5500000000000007</v>
      </c>
      <c r="L3667" s="16">
        <v>13.64</v>
      </c>
      <c r="M3667" s="16">
        <v>15.14</v>
      </c>
    </row>
    <row r="3668" spans="1:13" outlineLevel="1" x14ac:dyDescent="0.2">
      <c r="A3668" s="3"/>
    </row>
    <row r="3669" spans="1:13" outlineLevel="2" x14ac:dyDescent="0.2">
      <c r="A3669" s="3" t="s">
        <v>1587</v>
      </c>
    </row>
    <row r="3670" spans="1:13" ht="33.75" outlineLevel="3" x14ac:dyDescent="0.2">
      <c r="B3670" s="4" t="str">
        <f>"0013820140"</f>
        <v>0013820140</v>
      </c>
      <c r="C3670" s="5" t="str">
        <f>"407360"</f>
        <v>407360</v>
      </c>
      <c r="D3670" s="12" t="s">
        <v>1287</v>
      </c>
      <c r="E3670" s="14" t="s">
        <v>549</v>
      </c>
      <c r="F3670" s="12" t="s">
        <v>550</v>
      </c>
      <c r="G3670" s="15" t="s">
        <v>1285</v>
      </c>
      <c r="H3670" s="12" t="s">
        <v>1110</v>
      </c>
      <c r="I3670" s="12" t="s">
        <v>28</v>
      </c>
      <c r="J3670" s="2" t="s">
        <v>1400</v>
      </c>
      <c r="K3670" s="16" t="s">
        <v>1401</v>
      </c>
      <c r="L3670" s="16" t="s">
        <v>1401</v>
      </c>
      <c r="M3670" s="16">
        <v>10.53</v>
      </c>
    </row>
    <row r="3671" spans="1:13" ht="33.75" outlineLevel="3" x14ac:dyDescent="0.2">
      <c r="B3671" s="4" t="str">
        <f>"0013820140"</f>
        <v>0013820140</v>
      </c>
      <c r="C3671" s="5" t="str">
        <f>"071901"</f>
        <v>071901</v>
      </c>
      <c r="D3671" s="12" t="s">
        <v>1288</v>
      </c>
      <c r="E3671" s="14" t="s">
        <v>549</v>
      </c>
      <c r="F3671" s="12" t="s">
        <v>550</v>
      </c>
      <c r="G3671" s="15" t="s">
        <v>1285</v>
      </c>
      <c r="H3671" s="12" t="s">
        <v>1110</v>
      </c>
      <c r="I3671" s="12" t="s">
        <v>68</v>
      </c>
      <c r="K3671" s="16">
        <v>6.61</v>
      </c>
      <c r="L3671" s="16">
        <v>10.54</v>
      </c>
      <c r="M3671" s="16">
        <v>10.53</v>
      </c>
    </row>
    <row r="3672" spans="1:13" ht="33.75" outlineLevel="3" x14ac:dyDescent="0.2">
      <c r="B3672" s="4" t="str">
        <f>"0013820140"</f>
        <v>0013820140</v>
      </c>
      <c r="C3672" s="5" t="str">
        <f>"474551"</f>
        <v>474551</v>
      </c>
      <c r="D3672" s="12" t="s">
        <v>1289</v>
      </c>
      <c r="E3672" s="14" t="s">
        <v>549</v>
      </c>
      <c r="F3672" s="12" t="s">
        <v>550</v>
      </c>
      <c r="G3672" s="15" t="s">
        <v>1285</v>
      </c>
      <c r="H3672" s="12" t="s">
        <v>1110</v>
      </c>
      <c r="I3672" s="12" t="s">
        <v>170</v>
      </c>
      <c r="K3672" s="16">
        <v>6.61</v>
      </c>
      <c r="L3672" s="16">
        <v>10.54</v>
      </c>
      <c r="M3672" s="16">
        <v>10.53</v>
      </c>
    </row>
    <row r="3673" spans="1:13" ht="33.75" outlineLevel="3" x14ac:dyDescent="0.2">
      <c r="B3673" s="4" t="str">
        <f>"0013820140"</f>
        <v>0013820140</v>
      </c>
      <c r="C3673" s="5" t="str">
        <f>"093665"</f>
        <v>093665</v>
      </c>
      <c r="D3673" s="12" t="s">
        <v>1284</v>
      </c>
      <c r="E3673" s="14" t="s">
        <v>549</v>
      </c>
      <c r="F3673" s="12" t="s">
        <v>550</v>
      </c>
      <c r="G3673" s="15" t="s">
        <v>1285</v>
      </c>
      <c r="H3673" s="12" t="s">
        <v>1110</v>
      </c>
      <c r="I3673" s="12" t="s">
        <v>1286</v>
      </c>
      <c r="J3673" s="2" t="s">
        <v>1400</v>
      </c>
      <c r="K3673" s="16">
        <v>6.6</v>
      </c>
      <c r="L3673" s="16">
        <v>10.53</v>
      </c>
      <c r="M3673" s="16">
        <v>10.53</v>
      </c>
    </row>
    <row r="3674" spans="1:13" ht="33.75" outlineLevel="3" x14ac:dyDescent="0.2">
      <c r="B3674" s="4" t="str">
        <f>"0013820140"</f>
        <v>0013820140</v>
      </c>
      <c r="C3674" s="5" t="str">
        <f>"175464"</f>
        <v>175464</v>
      </c>
      <c r="D3674" s="12" t="s">
        <v>1112</v>
      </c>
      <c r="E3674" s="14" t="s">
        <v>549</v>
      </c>
      <c r="F3674" s="12" t="s">
        <v>550</v>
      </c>
      <c r="G3674" s="15" t="s">
        <v>1285</v>
      </c>
      <c r="H3674" s="12" t="s">
        <v>1110</v>
      </c>
      <c r="I3674" s="12" t="s">
        <v>70</v>
      </c>
      <c r="K3674" s="16">
        <v>5.66</v>
      </c>
      <c r="L3674" s="16">
        <v>9.0299999999999994</v>
      </c>
      <c r="M3674" s="16">
        <v>10.53</v>
      </c>
    </row>
    <row r="3675" spans="1:13" outlineLevel="2" x14ac:dyDescent="0.2"/>
    <row r="3676" spans="1:13" ht="33.75" outlineLevel="3" x14ac:dyDescent="0.2">
      <c r="B3676" s="4" t="str">
        <f>"0013820420"</f>
        <v>0013820420</v>
      </c>
      <c r="C3676" s="5" t="str">
        <f>"439303"</f>
        <v>439303</v>
      </c>
      <c r="D3676" s="12" t="s">
        <v>1287</v>
      </c>
      <c r="E3676" s="14" t="s">
        <v>549</v>
      </c>
      <c r="F3676" s="12" t="s">
        <v>550</v>
      </c>
      <c r="G3676" s="15" t="s">
        <v>1290</v>
      </c>
      <c r="H3676" s="12" t="s">
        <v>1110</v>
      </c>
      <c r="I3676" s="12" t="s">
        <v>28</v>
      </c>
      <c r="J3676" s="2" t="s">
        <v>1400</v>
      </c>
      <c r="K3676" s="16" t="s">
        <v>1401</v>
      </c>
      <c r="L3676" s="16" t="s">
        <v>1401</v>
      </c>
      <c r="M3676" s="16">
        <v>29.4</v>
      </c>
    </row>
    <row r="3677" spans="1:13" ht="33.75" outlineLevel="3" x14ac:dyDescent="0.2">
      <c r="B3677" s="4" t="str">
        <f>"0013820420"</f>
        <v>0013820420</v>
      </c>
      <c r="C3677" s="5" t="str">
        <f>"474643"</f>
        <v>474643</v>
      </c>
      <c r="D3677" s="12" t="s">
        <v>1289</v>
      </c>
      <c r="E3677" s="14" t="s">
        <v>549</v>
      </c>
      <c r="F3677" s="12" t="s">
        <v>550</v>
      </c>
      <c r="G3677" s="15" t="s">
        <v>1290</v>
      </c>
      <c r="H3677" s="12" t="s">
        <v>1110</v>
      </c>
      <c r="I3677" s="12" t="s">
        <v>170</v>
      </c>
      <c r="K3677" s="16">
        <v>19.12</v>
      </c>
      <c r="L3677" s="16">
        <v>29.4</v>
      </c>
      <c r="M3677" s="16">
        <v>29.4</v>
      </c>
    </row>
    <row r="3678" spans="1:13" ht="33.75" outlineLevel="3" x14ac:dyDescent="0.2">
      <c r="B3678" s="4" t="str">
        <f>"0013820420"</f>
        <v>0013820420</v>
      </c>
      <c r="C3678" s="5" t="str">
        <f>"189638"</f>
        <v>189638</v>
      </c>
      <c r="D3678" s="12" t="s">
        <v>1112</v>
      </c>
      <c r="E3678" s="14" t="s">
        <v>549</v>
      </c>
      <c r="F3678" s="12" t="s">
        <v>550</v>
      </c>
      <c r="G3678" s="15" t="s">
        <v>1290</v>
      </c>
      <c r="H3678" s="12" t="s">
        <v>1110</v>
      </c>
      <c r="I3678" s="12" t="s">
        <v>70</v>
      </c>
      <c r="K3678" s="16">
        <v>18.100000000000001</v>
      </c>
      <c r="L3678" s="16">
        <v>27.9</v>
      </c>
      <c r="M3678" s="16">
        <v>29.4</v>
      </c>
    </row>
    <row r="3679" spans="1:13" outlineLevel="1" x14ac:dyDescent="0.2">
      <c r="A3679" s="3"/>
    </row>
    <row r="3680" spans="1:13" outlineLevel="2" x14ac:dyDescent="0.2">
      <c r="A3680" s="3" t="s">
        <v>1588</v>
      </c>
    </row>
    <row r="3681" spans="1:13" ht="45" outlineLevel="3" x14ac:dyDescent="0.2">
      <c r="B3681" s="4" t="str">
        <f>"0009820150"</f>
        <v>0009820150</v>
      </c>
      <c r="C3681" s="5" t="str">
        <f>"588975"</f>
        <v>588975</v>
      </c>
      <c r="D3681" s="12" t="s">
        <v>989</v>
      </c>
      <c r="E3681" s="14" t="s">
        <v>990</v>
      </c>
      <c r="F3681" s="12" t="s">
        <v>991</v>
      </c>
      <c r="G3681" s="15" t="s">
        <v>992</v>
      </c>
      <c r="H3681" s="12" t="s">
        <v>993</v>
      </c>
      <c r="I3681" s="12" t="s">
        <v>298</v>
      </c>
      <c r="J3681" s="2" t="s">
        <v>1400</v>
      </c>
      <c r="K3681" s="16">
        <v>22.5</v>
      </c>
      <c r="L3681" s="16">
        <v>34.43</v>
      </c>
      <c r="M3681" s="16">
        <v>35.93</v>
      </c>
    </row>
    <row r="3682" spans="1:13" ht="45" outlineLevel="3" x14ac:dyDescent="0.2">
      <c r="B3682" s="4" t="str">
        <f>"0009820150"</f>
        <v>0009820150</v>
      </c>
      <c r="C3682" s="5" t="str">
        <f>"025468"</f>
        <v>025468</v>
      </c>
      <c r="D3682" s="12" t="s">
        <v>989</v>
      </c>
      <c r="E3682" s="14" t="s">
        <v>990</v>
      </c>
      <c r="F3682" s="12" t="s">
        <v>991</v>
      </c>
      <c r="G3682" s="15" t="s">
        <v>994</v>
      </c>
      <c r="H3682" s="12" t="s">
        <v>993</v>
      </c>
      <c r="I3682" s="12" t="s">
        <v>298</v>
      </c>
      <c r="K3682" s="16">
        <v>22.5</v>
      </c>
      <c r="L3682" s="16">
        <v>34.43</v>
      </c>
      <c r="M3682" s="16">
        <v>35.93</v>
      </c>
    </row>
    <row r="3683" spans="1:13" ht="22.5" outlineLevel="3" x14ac:dyDescent="0.2">
      <c r="B3683" s="4" t="str">
        <f>"0009820150"</f>
        <v>0009820150</v>
      </c>
      <c r="C3683" s="5" t="str">
        <f>"484170"</f>
        <v>484170</v>
      </c>
      <c r="D3683" s="12" t="s">
        <v>995</v>
      </c>
      <c r="F3683" s="12" t="s">
        <v>991</v>
      </c>
      <c r="G3683" s="15" t="s">
        <v>994</v>
      </c>
      <c r="H3683" s="12" t="s">
        <v>993</v>
      </c>
      <c r="I3683" s="12" t="s">
        <v>374</v>
      </c>
      <c r="K3683" s="16">
        <v>22.5</v>
      </c>
      <c r="L3683" s="16">
        <v>34.43</v>
      </c>
      <c r="M3683" s="16">
        <v>35.93</v>
      </c>
    </row>
    <row r="3684" spans="1:13" outlineLevel="1" x14ac:dyDescent="0.2">
      <c r="A3684" s="3"/>
    </row>
    <row r="3685" spans="1:13" outlineLevel="2" x14ac:dyDescent="0.2">
      <c r="A3685" s="3" t="s">
        <v>1589</v>
      </c>
    </row>
    <row r="3686" spans="1:13" ht="22.5" outlineLevel="3" x14ac:dyDescent="0.2">
      <c r="B3686" s="4" t="str">
        <f>"0013070040"</f>
        <v>0013070040</v>
      </c>
      <c r="C3686" s="5" t="str">
        <f>"501502"</f>
        <v>501502</v>
      </c>
      <c r="D3686" s="12" t="s">
        <v>1230</v>
      </c>
      <c r="E3686" s="14" t="s">
        <v>997</v>
      </c>
      <c r="F3686" s="12" t="s">
        <v>1231</v>
      </c>
      <c r="G3686" s="15" t="s">
        <v>1232</v>
      </c>
      <c r="H3686" s="12" t="s">
        <v>1233</v>
      </c>
      <c r="I3686" s="12" t="s">
        <v>22</v>
      </c>
      <c r="K3686" s="16">
        <v>13.13</v>
      </c>
      <c r="L3686" s="16">
        <v>20.52</v>
      </c>
      <c r="M3686" s="16">
        <v>22.02</v>
      </c>
    </row>
    <row r="3687" spans="1:13" ht="22.5" outlineLevel="3" x14ac:dyDescent="0.2">
      <c r="B3687" s="4" t="str">
        <f>"0013070040"</f>
        <v>0013070040</v>
      </c>
      <c r="C3687" s="5" t="str">
        <f>"581959"</f>
        <v>581959</v>
      </c>
      <c r="D3687" s="12" t="s">
        <v>1234</v>
      </c>
      <c r="E3687" s="14" t="s">
        <v>997</v>
      </c>
      <c r="F3687" s="12" t="s">
        <v>1231</v>
      </c>
      <c r="G3687" s="15" t="s">
        <v>1232</v>
      </c>
      <c r="H3687" s="12" t="s">
        <v>1233</v>
      </c>
      <c r="I3687" s="12" t="s">
        <v>298</v>
      </c>
      <c r="K3687" s="16">
        <v>13.13</v>
      </c>
      <c r="L3687" s="16">
        <v>20.52</v>
      </c>
      <c r="M3687" s="16">
        <v>22.02</v>
      </c>
    </row>
    <row r="3688" spans="1:13" outlineLevel="2" x14ac:dyDescent="0.2"/>
    <row r="3689" spans="1:13" ht="22.5" outlineLevel="3" x14ac:dyDescent="0.2">
      <c r="B3689" s="4" t="str">
        <f>"0014920040"</f>
        <v>0014920040</v>
      </c>
      <c r="C3689" s="5" t="str">
        <f>"095767"</f>
        <v>095767</v>
      </c>
      <c r="D3689" s="12" t="s">
        <v>1234</v>
      </c>
      <c r="E3689" s="14" t="s">
        <v>568</v>
      </c>
      <c r="F3689" s="12" t="s">
        <v>1231</v>
      </c>
      <c r="G3689" s="15" t="s">
        <v>1232</v>
      </c>
      <c r="H3689" s="12" t="s">
        <v>1233</v>
      </c>
      <c r="I3689" s="12" t="s">
        <v>700</v>
      </c>
      <c r="K3689" s="16">
        <v>14.97</v>
      </c>
      <c r="L3689" s="16">
        <v>23.24</v>
      </c>
      <c r="M3689" s="16">
        <v>24.74</v>
      </c>
    </row>
    <row r="3690" spans="1:13" ht="22.5" outlineLevel="3" x14ac:dyDescent="0.2">
      <c r="B3690" s="4" t="str">
        <f>"0014920040"</f>
        <v>0014920040</v>
      </c>
      <c r="C3690" s="5" t="str">
        <f>"501528"</f>
        <v>501528</v>
      </c>
      <c r="D3690" s="12" t="s">
        <v>1230</v>
      </c>
      <c r="E3690" s="14" t="s">
        <v>568</v>
      </c>
      <c r="F3690" s="12" t="s">
        <v>1231</v>
      </c>
      <c r="G3690" s="15" t="s">
        <v>1232</v>
      </c>
      <c r="H3690" s="12" t="s">
        <v>1233</v>
      </c>
      <c r="I3690" s="12" t="s">
        <v>22</v>
      </c>
      <c r="K3690" s="16">
        <v>14.97</v>
      </c>
      <c r="L3690" s="16">
        <v>23.24</v>
      </c>
      <c r="M3690" s="16">
        <v>24.74</v>
      </c>
    </row>
    <row r="3691" spans="1:13" outlineLevel="2" x14ac:dyDescent="0.2">
      <c r="A3691" s="3" t="s">
        <v>1590</v>
      </c>
    </row>
    <row r="3692" spans="1:13" ht="22.5" outlineLevel="3" x14ac:dyDescent="0.2">
      <c r="B3692" s="4" t="str">
        <f>"0009830120"</f>
        <v>0009830120</v>
      </c>
      <c r="C3692" s="5" t="str">
        <f>"129817"</f>
        <v>129817</v>
      </c>
      <c r="D3692" s="12" t="s">
        <v>996</v>
      </c>
      <c r="E3692" s="14" t="s">
        <v>997</v>
      </c>
      <c r="F3692" s="12" t="s">
        <v>991</v>
      </c>
      <c r="G3692" s="15" t="s">
        <v>998</v>
      </c>
      <c r="H3692" s="12" t="s">
        <v>999</v>
      </c>
      <c r="I3692" s="12" t="s">
        <v>374</v>
      </c>
      <c r="K3692" s="16">
        <v>18.22</v>
      </c>
      <c r="L3692" s="16">
        <v>28.07</v>
      </c>
      <c r="M3692" s="16">
        <v>29.57</v>
      </c>
    </row>
    <row r="3693" spans="1:13" ht="33.75" outlineLevel="3" x14ac:dyDescent="0.2">
      <c r="B3693" s="4" t="str">
        <f>"0009830120"</f>
        <v>0009830120</v>
      </c>
      <c r="C3693" s="5" t="str">
        <f>"168364"</f>
        <v>168364</v>
      </c>
      <c r="D3693" s="12" t="s">
        <v>1000</v>
      </c>
      <c r="E3693" s="14" t="s">
        <v>1001</v>
      </c>
      <c r="F3693" s="12" t="s">
        <v>991</v>
      </c>
      <c r="G3693" s="15" t="s">
        <v>998</v>
      </c>
      <c r="H3693" s="12" t="s">
        <v>999</v>
      </c>
      <c r="I3693" s="12" t="s">
        <v>298</v>
      </c>
      <c r="K3693" s="16">
        <v>18.22</v>
      </c>
      <c r="L3693" s="16">
        <v>28.07</v>
      </c>
      <c r="M3693" s="16">
        <v>29.57</v>
      </c>
    </row>
    <row r="3694" spans="1:13" outlineLevel="1" x14ac:dyDescent="0.2">
      <c r="A3694" s="3"/>
    </row>
    <row r="3695" spans="1:13" outlineLevel="2" x14ac:dyDescent="0.2">
      <c r="A3695" s="3" t="s">
        <v>1591</v>
      </c>
    </row>
    <row r="3696" spans="1:13" ht="22.5" outlineLevel="3" x14ac:dyDescent="0.2">
      <c r="B3696" s="4" t="str">
        <f t="shared" ref="B3696:B3702" si="125">"0008480030"</f>
        <v>0008480030</v>
      </c>
      <c r="C3696" s="5" t="str">
        <f>"002294"</f>
        <v>002294</v>
      </c>
      <c r="D3696" s="12" t="s">
        <v>912</v>
      </c>
      <c r="E3696" s="14" t="s">
        <v>179</v>
      </c>
      <c r="F3696" s="12" t="s">
        <v>689</v>
      </c>
      <c r="G3696" s="15">
        <v>28</v>
      </c>
      <c r="H3696" s="12" t="s">
        <v>910</v>
      </c>
      <c r="I3696" s="12" t="s">
        <v>170</v>
      </c>
      <c r="K3696" s="16">
        <v>17.7</v>
      </c>
      <c r="L3696" s="16">
        <v>27.3</v>
      </c>
      <c r="M3696" s="16">
        <v>4.93</v>
      </c>
    </row>
    <row r="3697" spans="2:13" outlineLevel="3" x14ac:dyDescent="0.2">
      <c r="B3697" s="4" t="str">
        <f t="shared" si="125"/>
        <v>0008480030</v>
      </c>
      <c r="C3697" s="5" t="str">
        <f>"162488"</f>
        <v>162488</v>
      </c>
      <c r="D3697" s="12" t="s">
        <v>911</v>
      </c>
      <c r="E3697" s="14" t="s">
        <v>179</v>
      </c>
      <c r="F3697" s="12" t="s">
        <v>689</v>
      </c>
      <c r="G3697" s="15">
        <v>30</v>
      </c>
      <c r="H3697" s="12" t="s">
        <v>910</v>
      </c>
      <c r="I3697" s="12" t="s">
        <v>70</v>
      </c>
      <c r="J3697" s="2" t="s">
        <v>1400</v>
      </c>
      <c r="K3697" s="16">
        <v>3.39</v>
      </c>
      <c r="L3697" s="16">
        <v>5.41</v>
      </c>
      <c r="M3697" s="16">
        <v>4.93</v>
      </c>
    </row>
    <row r="3698" spans="2:13" outlineLevel="3" x14ac:dyDescent="0.2">
      <c r="B3698" s="4" t="str">
        <f t="shared" si="125"/>
        <v>0008480030</v>
      </c>
      <c r="C3698" s="5" t="str">
        <f>"040102"</f>
        <v>040102</v>
      </c>
      <c r="D3698" s="12" t="s">
        <v>913</v>
      </c>
      <c r="E3698" s="14" t="s">
        <v>179</v>
      </c>
      <c r="F3698" s="12" t="s">
        <v>689</v>
      </c>
      <c r="G3698" s="15">
        <v>30</v>
      </c>
      <c r="H3698" s="12" t="s">
        <v>910</v>
      </c>
      <c r="I3698" s="12" t="s">
        <v>30</v>
      </c>
      <c r="K3698" s="16">
        <v>3.39</v>
      </c>
      <c r="L3698" s="16">
        <v>5.41</v>
      </c>
      <c r="M3698" s="16">
        <v>4.93</v>
      </c>
    </row>
    <row r="3699" spans="2:13" outlineLevel="3" x14ac:dyDescent="0.2">
      <c r="B3699" s="4" t="str">
        <f t="shared" si="125"/>
        <v>0008480030</v>
      </c>
      <c r="C3699" s="5" t="str">
        <f>"059672"</f>
        <v>059672</v>
      </c>
      <c r="D3699" s="12" t="s">
        <v>914</v>
      </c>
      <c r="E3699" s="14" t="s">
        <v>179</v>
      </c>
      <c r="F3699" s="12" t="s">
        <v>689</v>
      </c>
      <c r="G3699" s="15">
        <v>28</v>
      </c>
      <c r="H3699" s="12" t="s">
        <v>910</v>
      </c>
      <c r="I3699" s="12" t="s">
        <v>28</v>
      </c>
      <c r="K3699" s="16">
        <v>3.39</v>
      </c>
      <c r="L3699" s="16">
        <v>5.41</v>
      </c>
      <c r="M3699" s="16">
        <v>4.93</v>
      </c>
    </row>
    <row r="3700" spans="2:13" outlineLevel="3" x14ac:dyDescent="0.2">
      <c r="B3700" s="4" t="str">
        <f t="shared" si="125"/>
        <v>0008480030</v>
      </c>
      <c r="C3700" s="5" t="str">
        <f>"415035"</f>
        <v>415035</v>
      </c>
      <c r="D3700" s="12" t="s">
        <v>916</v>
      </c>
      <c r="E3700" s="14" t="s">
        <v>179</v>
      </c>
      <c r="F3700" s="12" t="s">
        <v>689</v>
      </c>
      <c r="G3700" s="15">
        <v>28</v>
      </c>
      <c r="H3700" s="12" t="s">
        <v>910</v>
      </c>
      <c r="I3700" s="12" t="s">
        <v>298</v>
      </c>
      <c r="K3700" s="16">
        <v>3.39</v>
      </c>
      <c r="L3700" s="16">
        <v>5.41</v>
      </c>
      <c r="M3700" s="16">
        <v>4.93</v>
      </c>
    </row>
    <row r="3701" spans="2:13" ht="22.5" outlineLevel="3" x14ac:dyDescent="0.2">
      <c r="B3701" s="4" t="str">
        <f t="shared" si="125"/>
        <v>0008480030</v>
      </c>
      <c r="C3701" s="5" t="str">
        <f>"115433"</f>
        <v>115433</v>
      </c>
      <c r="D3701" s="12" t="s">
        <v>915</v>
      </c>
      <c r="E3701" s="14" t="s">
        <v>179</v>
      </c>
      <c r="F3701" s="12" t="s">
        <v>689</v>
      </c>
      <c r="G3701" s="15">
        <v>28</v>
      </c>
      <c r="H3701" s="12" t="s">
        <v>910</v>
      </c>
      <c r="I3701" s="12" t="s">
        <v>79</v>
      </c>
      <c r="K3701" s="16">
        <v>2.15</v>
      </c>
      <c r="L3701" s="16">
        <v>3.43</v>
      </c>
      <c r="M3701" s="16">
        <v>4.93</v>
      </c>
    </row>
    <row r="3702" spans="2:13" outlineLevel="3" x14ac:dyDescent="0.2">
      <c r="B3702" s="4" t="str">
        <f t="shared" si="125"/>
        <v>0008480030</v>
      </c>
      <c r="C3702" s="5" t="str">
        <f>"040729"</f>
        <v>040729</v>
      </c>
      <c r="D3702" s="12" t="s">
        <v>909</v>
      </c>
      <c r="E3702" s="14" t="s">
        <v>179</v>
      </c>
      <c r="F3702" s="12" t="s">
        <v>689</v>
      </c>
      <c r="G3702" s="15">
        <v>28</v>
      </c>
      <c r="H3702" s="12" t="s">
        <v>910</v>
      </c>
      <c r="I3702" s="12" t="s">
        <v>355</v>
      </c>
      <c r="J3702" s="2" t="s">
        <v>1400</v>
      </c>
      <c r="K3702" s="16">
        <v>1.88</v>
      </c>
      <c r="L3702" s="16">
        <v>3</v>
      </c>
      <c r="M3702" s="16">
        <v>4.93</v>
      </c>
    </row>
    <row r="3703" spans="2:13" outlineLevel="2" x14ac:dyDescent="0.2"/>
    <row r="3704" spans="2:13" ht="22.5" outlineLevel="3" x14ac:dyDescent="0.2">
      <c r="B3704" s="4" t="str">
        <f t="shared" ref="B3704:B3710" si="126">"0008480100"</f>
        <v>0008480100</v>
      </c>
      <c r="C3704" s="5" t="str">
        <f>"002328"</f>
        <v>002328</v>
      </c>
      <c r="D3704" s="12" t="s">
        <v>912</v>
      </c>
      <c r="E3704" s="14" t="s">
        <v>179</v>
      </c>
      <c r="F3704" s="12" t="s">
        <v>689</v>
      </c>
      <c r="G3704" s="15">
        <v>98</v>
      </c>
      <c r="H3704" s="12" t="s">
        <v>910</v>
      </c>
      <c r="I3704" s="12" t="s">
        <v>170</v>
      </c>
      <c r="K3704" s="16">
        <v>61.92</v>
      </c>
      <c r="L3704" s="16">
        <v>91.23</v>
      </c>
      <c r="M3704" s="16">
        <v>6.53</v>
      </c>
    </row>
    <row r="3705" spans="2:13" outlineLevel="3" x14ac:dyDescent="0.2">
      <c r="B3705" s="4" t="str">
        <f t="shared" si="126"/>
        <v>0008480100</v>
      </c>
      <c r="C3705" s="5" t="str">
        <f>"040740"</f>
        <v>040740</v>
      </c>
      <c r="D3705" s="12" t="s">
        <v>909</v>
      </c>
      <c r="E3705" s="14" t="s">
        <v>179</v>
      </c>
      <c r="F3705" s="12" t="s">
        <v>689</v>
      </c>
      <c r="G3705" s="15">
        <v>98</v>
      </c>
      <c r="H3705" s="12" t="s">
        <v>910</v>
      </c>
      <c r="I3705" s="12" t="s">
        <v>355</v>
      </c>
      <c r="J3705" s="2" t="s">
        <v>1400</v>
      </c>
      <c r="K3705" s="16">
        <v>61.91</v>
      </c>
      <c r="L3705" s="16">
        <v>91.22</v>
      </c>
      <c r="M3705" s="16">
        <v>6.53</v>
      </c>
    </row>
    <row r="3706" spans="2:13" outlineLevel="3" x14ac:dyDescent="0.2">
      <c r="B3706" s="4" t="str">
        <f t="shared" si="126"/>
        <v>0008480100</v>
      </c>
      <c r="C3706" s="5" t="str">
        <f>"040115"</f>
        <v>040115</v>
      </c>
      <c r="D3706" s="12" t="s">
        <v>913</v>
      </c>
      <c r="E3706" s="14" t="s">
        <v>179</v>
      </c>
      <c r="F3706" s="12" t="s">
        <v>689</v>
      </c>
      <c r="G3706" s="15">
        <v>100</v>
      </c>
      <c r="H3706" s="12" t="s">
        <v>910</v>
      </c>
      <c r="I3706" s="12" t="s">
        <v>30</v>
      </c>
      <c r="K3706" s="16">
        <v>4.6900000000000004</v>
      </c>
      <c r="L3706" s="16">
        <v>7.48</v>
      </c>
      <c r="M3706" s="16">
        <v>6.53</v>
      </c>
    </row>
    <row r="3707" spans="2:13" outlineLevel="3" x14ac:dyDescent="0.2">
      <c r="B3707" s="4" t="str">
        <f t="shared" si="126"/>
        <v>0008480100</v>
      </c>
      <c r="C3707" s="5" t="str">
        <f>"141872"</f>
        <v>141872</v>
      </c>
      <c r="D3707" s="12" t="s">
        <v>916</v>
      </c>
      <c r="E3707" s="14" t="s">
        <v>179</v>
      </c>
      <c r="F3707" s="12" t="s">
        <v>689</v>
      </c>
      <c r="G3707" s="15">
        <v>98</v>
      </c>
      <c r="H3707" s="12" t="s">
        <v>910</v>
      </c>
      <c r="I3707" s="12" t="s">
        <v>298</v>
      </c>
      <c r="K3707" s="16">
        <v>4.6900000000000004</v>
      </c>
      <c r="L3707" s="16">
        <v>7.48</v>
      </c>
      <c r="M3707" s="16">
        <v>6.53</v>
      </c>
    </row>
    <row r="3708" spans="2:13" outlineLevel="3" x14ac:dyDescent="0.2">
      <c r="B3708" s="4" t="str">
        <f t="shared" si="126"/>
        <v>0008480100</v>
      </c>
      <c r="C3708" s="5" t="str">
        <f>"196109"</f>
        <v>196109</v>
      </c>
      <c r="D3708" s="12" t="s">
        <v>914</v>
      </c>
      <c r="E3708" s="14" t="s">
        <v>179</v>
      </c>
      <c r="F3708" s="12" t="s">
        <v>689</v>
      </c>
      <c r="G3708" s="15">
        <v>98</v>
      </c>
      <c r="H3708" s="12" t="s">
        <v>910</v>
      </c>
      <c r="I3708" s="12" t="s">
        <v>28</v>
      </c>
      <c r="K3708" s="16">
        <v>4.6900000000000004</v>
      </c>
      <c r="L3708" s="16">
        <v>7.48</v>
      </c>
      <c r="M3708" s="16">
        <v>6.53</v>
      </c>
    </row>
    <row r="3709" spans="2:13" outlineLevel="3" x14ac:dyDescent="0.2">
      <c r="B3709" s="4" t="str">
        <f t="shared" si="126"/>
        <v>0008480100</v>
      </c>
      <c r="C3709" s="5" t="str">
        <f>"034567"</f>
        <v>034567</v>
      </c>
      <c r="D3709" s="12" t="s">
        <v>911</v>
      </c>
      <c r="E3709" s="14" t="s">
        <v>179</v>
      </c>
      <c r="F3709" s="12" t="s">
        <v>689</v>
      </c>
      <c r="G3709" s="15">
        <v>100</v>
      </c>
      <c r="H3709" s="12" t="s">
        <v>910</v>
      </c>
      <c r="I3709" s="12" t="s">
        <v>70</v>
      </c>
      <c r="J3709" s="2" t="s">
        <v>1400</v>
      </c>
      <c r="K3709" s="16">
        <v>4.68</v>
      </c>
      <c r="L3709" s="16">
        <v>7.47</v>
      </c>
      <c r="M3709" s="16">
        <v>6.53</v>
      </c>
    </row>
    <row r="3710" spans="2:13" ht="22.5" outlineLevel="3" x14ac:dyDescent="0.2">
      <c r="B3710" s="4" t="str">
        <f t="shared" si="126"/>
        <v>0008480100</v>
      </c>
      <c r="C3710" s="5" t="str">
        <f>"066482"</f>
        <v>066482</v>
      </c>
      <c r="D3710" s="12" t="s">
        <v>915</v>
      </c>
      <c r="E3710" s="14" t="s">
        <v>179</v>
      </c>
      <c r="F3710" s="12" t="s">
        <v>689</v>
      </c>
      <c r="G3710" s="15">
        <v>98</v>
      </c>
      <c r="H3710" s="12" t="s">
        <v>910</v>
      </c>
      <c r="I3710" s="12" t="s">
        <v>79</v>
      </c>
      <c r="K3710" s="16">
        <v>3.15</v>
      </c>
      <c r="L3710" s="16">
        <v>5.03</v>
      </c>
      <c r="M3710" s="16">
        <v>6.53</v>
      </c>
    </row>
    <row r="3711" spans="2:13" outlineLevel="2" x14ac:dyDescent="0.2"/>
    <row r="3712" spans="2:13" ht="22.5" outlineLevel="3" x14ac:dyDescent="0.2">
      <c r="B3712" s="4" t="str">
        <f t="shared" ref="B3712:B3718" si="127">"0008550030"</f>
        <v>0008550030</v>
      </c>
      <c r="C3712" s="5" t="str">
        <f>"021402"</f>
        <v>021402</v>
      </c>
      <c r="D3712" s="12" t="s">
        <v>912</v>
      </c>
      <c r="E3712" s="14" t="s">
        <v>111</v>
      </c>
      <c r="F3712" s="12" t="s">
        <v>689</v>
      </c>
      <c r="G3712" s="15">
        <v>28</v>
      </c>
      <c r="H3712" s="12" t="s">
        <v>910</v>
      </c>
      <c r="I3712" s="12" t="s">
        <v>170</v>
      </c>
      <c r="K3712" s="16">
        <v>17.95</v>
      </c>
      <c r="L3712" s="16">
        <v>27.67</v>
      </c>
      <c r="M3712" s="16">
        <v>5.3</v>
      </c>
    </row>
    <row r="3713" spans="2:13" outlineLevel="3" x14ac:dyDescent="0.2">
      <c r="B3713" s="4" t="str">
        <f t="shared" si="127"/>
        <v>0008550030</v>
      </c>
      <c r="C3713" s="5" t="str">
        <f>"590821"</f>
        <v>590821</v>
      </c>
      <c r="D3713" s="12" t="s">
        <v>911</v>
      </c>
      <c r="E3713" s="14" t="s">
        <v>111</v>
      </c>
      <c r="F3713" s="12" t="s">
        <v>689</v>
      </c>
      <c r="G3713" s="15">
        <v>30</v>
      </c>
      <c r="H3713" s="12" t="s">
        <v>910</v>
      </c>
      <c r="I3713" s="12" t="s">
        <v>70</v>
      </c>
      <c r="J3713" s="2" t="s">
        <v>1400</v>
      </c>
      <c r="K3713" s="16">
        <v>3.39</v>
      </c>
      <c r="L3713" s="16">
        <v>5.41</v>
      </c>
      <c r="M3713" s="16">
        <v>5.3</v>
      </c>
    </row>
    <row r="3714" spans="2:13" outlineLevel="3" x14ac:dyDescent="0.2">
      <c r="B3714" s="4" t="str">
        <f t="shared" si="127"/>
        <v>0008550030</v>
      </c>
      <c r="C3714" s="5" t="str">
        <f>"040126"</f>
        <v>040126</v>
      </c>
      <c r="D3714" s="12" t="s">
        <v>913</v>
      </c>
      <c r="E3714" s="14" t="s">
        <v>111</v>
      </c>
      <c r="F3714" s="12" t="s">
        <v>689</v>
      </c>
      <c r="G3714" s="15">
        <v>30</v>
      </c>
      <c r="H3714" s="12" t="s">
        <v>910</v>
      </c>
      <c r="I3714" s="12" t="s">
        <v>30</v>
      </c>
      <c r="K3714" s="16">
        <v>3.39</v>
      </c>
      <c r="L3714" s="16">
        <v>5.41</v>
      </c>
      <c r="M3714" s="16">
        <v>5.3</v>
      </c>
    </row>
    <row r="3715" spans="2:13" outlineLevel="3" x14ac:dyDescent="0.2">
      <c r="B3715" s="4" t="str">
        <f t="shared" si="127"/>
        <v>0008550030</v>
      </c>
      <c r="C3715" s="5" t="str">
        <f>"140116"</f>
        <v>140116</v>
      </c>
      <c r="D3715" s="12" t="s">
        <v>914</v>
      </c>
      <c r="E3715" s="14" t="s">
        <v>111</v>
      </c>
      <c r="F3715" s="12" t="s">
        <v>689</v>
      </c>
      <c r="G3715" s="15">
        <v>28</v>
      </c>
      <c r="H3715" s="12" t="s">
        <v>910</v>
      </c>
      <c r="I3715" s="12" t="s">
        <v>28</v>
      </c>
      <c r="K3715" s="16">
        <v>3.39</v>
      </c>
      <c r="L3715" s="16">
        <v>5.41</v>
      </c>
      <c r="M3715" s="16">
        <v>5.3</v>
      </c>
    </row>
    <row r="3716" spans="2:13" outlineLevel="3" x14ac:dyDescent="0.2">
      <c r="B3716" s="4" t="str">
        <f t="shared" si="127"/>
        <v>0008550030</v>
      </c>
      <c r="C3716" s="5" t="str">
        <f>"448930"</f>
        <v>448930</v>
      </c>
      <c r="D3716" s="12" t="s">
        <v>916</v>
      </c>
      <c r="E3716" s="14" t="s">
        <v>111</v>
      </c>
      <c r="F3716" s="12" t="s">
        <v>689</v>
      </c>
      <c r="G3716" s="15">
        <v>28</v>
      </c>
      <c r="H3716" s="12" t="s">
        <v>910</v>
      </c>
      <c r="I3716" s="12" t="s">
        <v>298</v>
      </c>
      <c r="K3716" s="16">
        <v>3.39</v>
      </c>
      <c r="L3716" s="16">
        <v>5.41</v>
      </c>
      <c r="M3716" s="16">
        <v>5.3</v>
      </c>
    </row>
    <row r="3717" spans="2:13" outlineLevel="3" x14ac:dyDescent="0.2">
      <c r="B3717" s="4" t="str">
        <f t="shared" si="127"/>
        <v>0008550030</v>
      </c>
      <c r="C3717" s="5" t="str">
        <f>"040752"</f>
        <v>040752</v>
      </c>
      <c r="D3717" s="12" t="s">
        <v>909</v>
      </c>
      <c r="E3717" s="14" t="s">
        <v>111</v>
      </c>
      <c r="F3717" s="12" t="s">
        <v>689</v>
      </c>
      <c r="G3717" s="15">
        <v>28</v>
      </c>
      <c r="H3717" s="12" t="s">
        <v>910</v>
      </c>
      <c r="I3717" s="12" t="s">
        <v>355</v>
      </c>
      <c r="J3717" s="2" t="s">
        <v>1400</v>
      </c>
      <c r="K3717" s="16">
        <v>2.64</v>
      </c>
      <c r="L3717" s="16">
        <v>4.21</v>
      </c>
      <c r="M3717" s="16">
        <v>5.3</v>
      </c>
    </row>
    <row r="3718" spans="2:13" ht="22.5" outlineLevel="3" x14ac:dyDescent="0.2">
      <c r="B3718" s="4" t="str">
        <f t="shared" si="127"/>
        <v>0008550030</v>
      </c>
      <c r="C3718" s="5" t="str">
        <f>"472809"</f>
        <v>472809</v>
      </c>
      <c r="D3718" s="12" t="s">
        <v>915</v>
      </c>
      <c r="E3718" s="14" t="s">
        <v>111</v>
      </c>
      <c r="F3718" s="12" t="s">
        <v>689</v>
      </c>
      <c r="G3718" s="15">
        <v>28</v>
      </c>
      <c r="H3718" s="12" t="s">
        <v>910</v>
      </c>
      <c r="I3718" s="12" t="s">
        <v>79</v>
      </c>
      <c r="K3718" s="16">
        <v>2.38</v>
      </c>
      <c r="L3718" s="16">
        <v>3.8</v>
      </c>
      <c r="M3718" s="16">
        <v>5.3</v>
      </c>
    </row>
    <row r="3719" spans="2:13" outlineLevel="2" x14ac:dyDescent="0.2"/>
    <row r="3720" spans="2:13" ht="22.5" outlineLevel="3" x14ac:dyDescent="0.2">
      <c r="B3720" s="4" t="str">
        <f t="shared" ref="B3720:B3727" si="128">"0008550100"</f>
        <v>0008550100</v>
      </c>
      <c r="C3720" s="5" t="str">
        <f>"021469"</f>
        <v>021469</v>
      </c>
      <c r="D3720" s="12" t="s">
        <v>912</v>
      </c>
      <c r="E3720" s="14" t="s">
        <v>111</v>
      </c>
      <c r="F3720" s="12" t="s">
        <v>689</v>
      </c>
      <c r="G3720" s="15">
        <v>98</v>
      </c>
      <c r="H3720" s="12" t="s">
        <v>910</v>
      </c>
      <c r="I3720" s="12" t="s">
        <v>170</v>
      </c>
      <c r="K3720" s="16">
        <v>62.82</v>
      </c>
      <c r="L3720" s="16">
        <v>92.48</v>
      </c>
      <c r="M3720" s="16">
        <v>11.29</v>
      </c>
    </row>
    <row r="3721" spans="2:13" outlineLevel="3" x14ac:dyDescent="0.2">
      <c r="B3721" s="4" t="str">
        <f t="shared" si="128"/>
        <v>0008550100</v>
      </c>
      <c r="C3721" s="5" t="str">
        <f>"040763"</f>
        <v>040763</v>
      </c>
      <c r="D3721" s="12" t="s">
        <v>909</v>
      </c>
      <c r="E3721" s="14" t="s">
        <v>111</v>
      </c>
      <c r="F3721" s="12" t="s">
        <v>689</v>
      </c>
      <c r="G3721" s="15">
        <v>98</v>
      </c>
      <c r="H3721" s="12" t="s">
        <v>910</v>
      </c>
      <c r="I3721" s="12" t="s">
        <v>355</v>
      </c>
      <c r="J3721" s="2" t="s">
        <v>1400</v>
      </c>
      <c r="K3721" s="16">
        <v>12.2</v>
      </c>
      <c r="L3721" s="16">
        <v>19.13</v>
      </c>
      <c r="M3721" s="16">
        <v>11.29</v>
      </c>
    </row>
    <row r="3722" spans="2:13" ht="22.5" outlineLevel="3" x14ac:dyDescent="0.2">
      <c r="B3722" s="4" t="str">
        <f t="shared" si="128"/>
        <v>0008550100</v>
      </c>
      <c r="C3722" s="5" t="str">
        <f>"436357"</f>
        <v>436357</v>
      </c>
      <c r="D3722" s="12" t="s">
        <v>915</v>
      </c>
      <c r="E3722" s="14" t="s">
        <v>111</v>
      </c>
      <c r="F3722" s="12" t="s">
        <v>689</v>
      </c>
      <c r="G3722" s="15">
        <v>98</v>
      </c>
      <c r="H3722" s="12" t="s">
        <v>910</v>
      </c>
      <c r="I3722" s="12" t="s">
        <v>79</v>
      </c>
      <c r="J3722" s="2" t="s">
        <v>1400</v>
      </c>
      <c r="K3722" s="16">
        <v>6.14</v>
      </c>
      <c r="L3722" s="16">
        <v>9.7899999999999991</v>
      </c>
      <c r="M3722" s="16">
        <v>11.29</v>
      </c>
    </row>
    <row r="3723" spans="2:13" ht="22.5" outlineLevel="3" x14ac:dyDescent="0.2">
      <c r="B3723" s="4" t="str">
        <f t="shared" si="128"/>
        <v>0008550100</v>
      </c>
      <c r="C3723" s="5" t="str">
        <f>"037263"</f>
        <v>037263</v>
      </c>
      <c r="D3723" s="12" t="s">
        <v>932</v>
      </c>
      <c r="E3723" s="14" t="s">
        <v>111</v>
      </c>
      <c r="F3723" s="12" t="s">
        <v>689</v>
      </c>
      <c r="G3723" s="15">
        <v>100</v>
      </c>
      <c r="H3723" s="12" t="s">
        <v>910</v>
      </c>
      <c r="I3723" s="12" t="s">
        <v>68</v>
      </c>
      <c r="K3723" s="16">
        <v>6.14</v>
      </c>
      <c r="L3723" s="16">
        <v>9.7899999999999991</v>
      </c>
      <c r="M3723" s="16">
        <v>11.29</v>
      </c>
    </row>
    <row r="3724" spans="2:13" outlineLevel="3" x14ac:dyDescent="0.2">
      <c r="B3724" s="4" t="str">
        <f t="shared" si="128"/>
        <v>0008550100</v>
      </c>
      <c r="C3724" s="5" t="str">
        <f>"040137"</f>
        <v>040137</v>
      </c>
      <c r="D3724" s="12" t="s">
        <v>913</v>
      </c>
      <c r="E3724" s="14" t="s">
        <v>111</v>
      </c>
      <c r="F3724" s="12" t="s">
        <v>689</v>
      </c>
      <c r="G3724" s="15">
        <v>100</v>
      </c>
      <c r="H3724" s="12" t="s">
        <v>910</v>
      </c>
      <c r="I3724" s="12" t="s">
        <v>30</v>
      </c>
      <c r="K3724" s="16">
        <v>6.14</v>
      </c>
      <c r="L3724" s="16">
        <v>9.7899999999999991</v>
      </c>
      <c r="M3724" s="16">
        <v>11.29</v>
      </c>
    </row>
    <row r="3725" spans="2:13" outlineLevel="3" x14ac:dyDescent="0.2">
      <c r="B3725" s="4" t="str">
        <f t="shared" si="128"/>
        <v>0008550100</v>
      </c>
      <c r="C3725" s="5" t="str">
        <f>"387991"</f>
        <v>387991</v>
      </c>
      <c r="D3725" s="12" t="s">
        <v>916</v>
      </c>
      <c r="E3725" s="14" t="s">
        <v>111</v>
      </c>
      <c r="F3725" s="12" t="s">
        <v>689</v>
      </c>
      <c r="G3725" s="15">
        <v>98</v>
      </c>
      <c r="H3725" s="12" t="s">
        <v>910</v>
      </c>
      <c r="I3725" s="12" t="s">
        <v>298</v>
      </c>
      <c r="K3725" s="16">
        <v>6.14</v>
      </c>
      <c r="L3725" s="16">
        <v>9.7899999999999991</v>
      </c>
      <c r="M3725" s="16">
        <v>11.29</v>
      </c>
    </row>
    <row r="3726" spans="2:13" outlineLevel="3" x14ac:dyDescent="0.2">
      <c r="B3726" s="4" t="str">
        <f t="shared" si="128"/>
        <v>0008550100</v>
      </c>
      <c r="C3726" s="5" t="str">
        <f>"389900"</f>
        <v>389900</v>
      </c>
      <c r="D3726" s="12" t="s">
        <v>914</v>
      </c>
      <c r="E3726" s="14" t="s">
        <v>111</v>
      </c>
      <c r="F3726" s="12" t="s">
        <v>689</v>
      </c>
      <c r="G3726" s="15">
        <v>98</v>
      </c>
      <c r="H3726" s="12" t="s">
        <v>910</v>
      </c>
      <c r="I3726" s="12" t="s">
        <v>28</v>
      </c>
      <c r="K3726" s="16">
        <v>6.14</v>
      </c>
      <c r="L3726" s="16">
        <v>9.7899999999999991</v>
      </c>
      <c r="M3726" s="16">
        <v>11.29</v>
      </c>
    </row>
    <row r="3727" spans="2:13" outlineLevel="3" x14ac:dyDescent="0.2">
      <c r="B3727" s="4" t="str">
        <f t="shared" si="128"/>
        <v>0008550100</v>
      </c>
      <c r="C3727" s="5" t="str">
        <f>"051199"</f>
        <v>051199</v>
      </c>
      <c r="D3727" s="12" t="s">
        <v>911</v>
      </c>
      <c r="E3727" s="14" t="s">
        <v>111</v>
      </c>
      <c r="F3727" s="12" t="s">
        <v>689</v>
      </c>
      <c r="G3727" s="15">
        <v>100</v>
      </c>
      <c r="H3727" s="12" t="s">
        <v>910</v>
      </c>
      <c r="I3727" s="12" t="s">
        <v>70</v>
      </c>
      <c r="J3727" s="2" t="s">
        <v>1400</v>
      </c>
      <c r="K3727" s="16">
        <v>6.13</v>
      </c>
      <c r="L3727" s="16">
        <v>9.7799999999999994</v>
      </c>
      <c r="M3727" s="16">
        <v>11.29</v>
      </c>
    </row>
    <row r="3728" spans="2:13" outlineLevel="2" x14ac:dyDescent="0.2"/>
    <row r="3729" spans="2:13" ht="33.75" outlineLevel="3" x14ac:dyDescent="0.2">
      <c r="B3729" s="4" t="str">
        <f t="shared" ref="B3729:B3737" si="129">"0008820030"</f>
        <v>0008820030</v>
      </c>
      <c r="C3729" s="5" t="str">
        <f>"021048"</f>
        <v>021048</v>
      </c>
      <c r="D3729" s="12" t="s">
        <v>912</v>
      </c>
      <c r="E3729" s="14" t="s">
        <v>82</v>
      </c>
      <c r="F3729" s="12" t="s">
        <v>3</v>
      </c>
      <c r="G3729" s="15">
        <v>28</v>
      </c>
      <c r="H3729" s="12" t="s">
        <v>910</v>
      </c>
      <c r="I3729" s="12" t="s">
        <v>170</v>
      </c>
      <c r="K3729" s="16">
        <v>18.739999999999998</v>
      </c>
      <c r="L3729" s="16">
        <v>28.84</v>
      </c>
      <c r="M3729" s="16">
        <v>9.5500000000000007</v>
      </c>
    </row>
    <row r="3730" spans="2:13" ht="33.75" outlineLevel="3" x14ac:dyDescent="0.2">
      <c r="B3730" s="4" t="str">
        <f t="shared" si="129"/>
        <v>0008820030</v>
      </c>
      <c r="C3730" s="5" t="str">
        <f>"040080"</f>
        <v>040080</v>
      </c>
      <c r="D3730" s="12" t="s">
        <v>913</v>
      </c>
      <c r="E3730" s="14" t="s">
        <v>82</v>
      </c>
      <c r="F3730" s="12" t="s">
        <v>3</v>
      </c>
      <c r="G3730" s="15">
        <v>30</v>
      </c>
      <c r="H3730" s="12" t="s">
        <v>910</v>
      </c>
      <c r="I3730" s="12" t="s">
        <v>30</v>
      </c>
      <c r="K3730" s="16">
        <v>6.65</v>
      </c>
      <c r="L3730" s="16">
        <v>10.6</v>
      </c>
      <c r="M3730" s="16">
        <v>9.5500000000000007</v>
      </c>
    </row>
    <row r="3731" spans="2:13" ht="33.75" outlineLevel="3" x14ac:dyDescent="0.2">
      <c r="B3731" s="4" t="str">
        <f t="shared" si="129"/>
        <v>0008820030</v>
      </c>
      <c r="C3731" s="5" t="str">
        <f>"051860"</f>
        <v>051860</v>
      </c>
      <c r="D3731" s="12" t="s">
        <v>932</v>
      </c>
      <c r="E3731" s="14" t="s">
        <v>82</v>
      </c>
      <c r="F3731" s="12" t="s">
        <v>3</v>
      </c>
      <c r="G3731" s="15">
        <v>30</v>
      </c>
      <c r="H3731" s="12" t="s">
        <v>910</v>
      </c>
      <c r="I3731" s="12" t="s">
        <v>68</v>
      </c>
      <c r="K3731" s="16">
        <v>6.65</v>
      </c>
      <c r="L3731" s="16">
        <v>10.6</v>
      </c>
      <c r="M3731" s="16">
        <v>9.5500000000000007</v>
      </c>
    </row>
    <row r="3732" spans="2:13" ht="33.75" outlineLevel="3" x14ac:dyDescent="0.2">
      <c r="B3732" s="4" t="str">
        <f t="shared" si="129"/>
        <v>0008820030</v>
      </c>
      <c r="C3732" s="5" t="str">
        <f>"172283"</f>
        <v>172283</v>
      </c>
      <c r="D3732" s="12" t="s">
        <v>911</v>
      </c>
      <c r="E3732" s="14" t="s">
        <v>82</v>
      </c>
      <c r="F3732" s="12" t="s">
        <v>3</v>
      </c>
      <c r="G3732" s="15">
        <v>30</v>
      </c>
      <c r="H3732" s="12" t="s">
        <v>910</v>
      </c>
      <c r="I3732" s="12" t="s">
        <v>70</v>
      </c>
      <c r="K3732" s="16">
        <v>6.65</v>
      </c>
      <c r="L3732" s="16">
        <v>10.6</v>
      </c>
      <c r="M3732" s="16">
        <v>9.5500000000000007</v>
      </c>
    </row>
    <row r="3733" spans="2:13" ht="33.75" outlineLevel="3" x14ac:dyDescent="0.2">
      <c r="B3733" s="4" t="str">
        <f t="shared" si="129"/>
        <v>0008820030</v>
      </c>
      <c r="C3733" s="5" t="str">
        <f>"396186"</f>
        <v>396186</v>
      </c>
      <c r="D3733" s="12" t="s">
        <v>916</v>
      </c>
      <c r="E3733" s="14" t="s">
        <v>82</v>
      </c>
      <c r="F3733" s="12" t="s">
        <v>3</v>
      </c>
      <c r="G3733" s="15">
        <v>28</v>
      </c>
      <c r="H3733" s="12" t="s">
        <v>910</v>
      </c>
      <c r="I3733" s="12" t="s">
        <v>298</v>
      </c>
      <c r="K3733" s="16">
        <v>6.65</v>
      </c>
      <c r="L3733" s="16">
        <v>10.6</v>
      </c>
      <c r="M3733" s="16">
        <v>9.5500000000000007</v>
      </c>
    </row>
    <row r="3734" spans="2:13" outlineLevel="3" x14ac:dyDescent="0.2">
      <c r="B3734" s="4" t="str">
        <f t="shared" si="129"/>
        <v>0008820030</v>
      </c>
      <c r="C3734" s="5" t="str">
        <f>"535488"</f>
        <v>535488</v>
      </c>
      <c r="D3734" s="12" t="s">
        <v>914</v>
      </c>
      <c r="E3734" s="14" t="s">
        <v>82</v>
      </c>
      <c r="F3734" s="12" t="s">
        <v>73</v>
      </c>
      <c r="G3734" s="15">
        <v>28</v>
      </c>
      <c r="H3734" s="12" t="s">
        <v>910</v>
      </c>
      <c r="I3734" s="12" t="s">
        <v>28</v>
      </c>
      <c r="K3734" s="16">
        <v>6.65</v>
      </c>
      <c r="L3734" s="16">
        <v>10.6</v>
      </c>
      <c r="M3734" s="16">
        <v>9.5500000000000007</v>
      </c>
    </row>
    <row r="3735" spans="2:13" ht="33.75" outlineLevel="3" x14ac:dyDescent="0.2">
      <c r="B3735" s="4" t="str">
        <f t="shared" si="129"/>
        <v>0008820030</v>
      </c>
      <c r="C3735" s="5" t="str">
        <f>"083191"</f>
        <v>083191</v>
      </c>
      <c r="D3735" s="12" t="s">
        <v>936</v>
      </c>
      <c r="E3735" s="14" t="s">
        <v>82</v>
      </c>
      <c r="F3735" s="12" t="s">
        <v>3</v>
      </c>
      <c r="G3735" s="15">
        <v>28</v>
      </c>
      <c r="H3735" s="12" t="s">
        <v>910</v>
      </c>
      <c r="I3735" s="12" t="s">
        <v>11</v>
      </c>
      <c r="J3735" s="2" t="s">
        <v>1400</v>
      </c>
      <c r="K3735" s="16">
        <v>6.27</v>
      </c>
      <c r="L3735" s="16">
        <v>10</v>
      </c>
      <c r="M3735" s="16">
        <v>9.5500000000000007</v>
      </c>
    </row>
    <row r="3736" spans="2:13" ht="33.75" outlineLevel="3" x14ac:dyDescent="0.2">
      <c r="B3736" s="4" t="str">
        <f t="shared" si="129"/>
        <v>0008820030</v>
      </c>
      <c r="C3736" s="5" t="str">
        <f>"190543"</f>
        <v>190543</v>
      </c>
      <c r="D3736" s="12" t="s">
        <v>915</v>
      </c>
      <c r="E3736" s="14" t="s">
        <v>82</v>
      </c>
      <c r="F3736" s="12" t="s">
        <v>3</v>
      </c>
      <c r="G3736" s="15">
        <v>28</v>
      </c>
      <c r="H3736" s="12" t="s">
        <v>910</v>
      </c>
      <c r="I3736" s="12" t="s">
        <v>79</v>
      </c>
      <c r="K3736" s="16">
        <v>5.05</v>
      </c>
      <c r="L3736" s="16">
        <v>8.0500000000000007</v>
      </c>
      <c r="M3736" s="16">
        <v>9.5500000000000007</v>
      </c>
    </row>
    <row r="3737" spans="2:13" ht="33.75" outlineLevel="3" x14ac:dyDescent="0.2">
      <c r="B3737" s="4" t="str">
        <f t="shared" si="129"/>
        <v>0008820030</v>
      </c>
      <c r="C3737" s="5" t="str">
        <f>"040775"</f>
        <v>040775</v>
      </c>
      <c r="D3737" s="12" t="s">
        <v>909</v>
      </c>
      <c r="E3737" s="14" t="s">
        <v>82</v>
      </c>
      <c r="F3737" s="12" t="s">
        <v>3</v>
      </c>
      <c r="G3737" s="15">
        <v>28</v>
      </c>
      <c r="H3737" s="12" t="s">
        <v>910</v>
      </c>
      <c r="I3737" s="12" t="s">
        <v>355</v>
      </c>
      <c r="J3737" s="2" t="s">
        <v>1400</v>
      </c>
      <c r="K3737" s="16">
        <v>2</v>
      </c>
      <c r="L3737" s="16">
        <v>3.19</v>
      </c>
      <c r="M3737" s="16">
        <v>9.5500000000000007</v>
      </c>
    </row>
    <row r="3738" spans="2:13" outlineLevel="2" x14ac:dyDescent="0.2"/>
    <row r="3739" spans="2:13" ht="33.75" outlineLevel="3" x14ac:dyDescent="0.2">
      <c r="B3739" s="4" t="str">
        <f t="shared" ref="B3739:B3747" si="130">"0008820100"</f>
        <v>0008820100</v>
      </c>
      <c r="C3739" s="5" t="str">
        <f>"021345"</f>
        <v>021345</v>
      </c>
      <c r="D3739" s="12" t="s">
        <v>912</v>
      </c>
      <c r="E3739" s="14" t="s">
        <v>82</v>
      </c>
      <c r="F3739" s="12" t="s">
        <v>3</v>
      </c>
      <c r="G3739" s="15">
        <v>98</v>
      </c>
      <c r="H3739" s="12" t="s">
        <v>910</v>
      </c>
      <c r="I3739" s="12" t="s">
        <v>170</v>
      </c>
      <c r="K3739" s="16">
        <v>65.58</v>
      </c>
      <c r="L3739" s="16">
        <v>96.27</v>
      </c>
      <c r="M3739" s="16">
        <v>12.27</v>
      </c>
    </row>
    <row r="3740" spans="2:13" ht="33.75" outlineLevel="3" x14ac:dyDescent="0.2">
      <c r="B3740" s="4" t="str">
        <f t="shared" si="130"/>
        <v>0008820100</v>
      </c>
      <c r="C3740" s="5" t="str">
        <f>"040786"</f>
        <v>040786</v>
      </c>
      <c r="D3740" s="12" t="s">
        <v>909</v>
      </c>
      <c r="E3740" s="14" t="s">
        <v>82</v>
      </c>
      <c r="F3740" s="12" t="s">
        <v>3</v>
      </c>
      <c r="G3740" s="15">
        <v>98</v>
      </c>
      <c r="H3740" s="12" t="s">
        <v>910</v>
      </c>
      <c r="I3740" s="12" t="s">
        <v>355</v>
      </c>
      <c r="J3740" s="2" t="s">
        <v>1400</v>
      </c>
      <c r="K3740" s="16">
        <v>9</v>
      </c>
      <c r="L3740" s="16">
        <v>14.36</v>
      </c>
      <c r="M3740" s="16">
        <v>12.27</v>
      </c>
    </row>
    <row r="3741" spans="2:13" ht="33.75" outlineLevel="3" x14ac:dyDescent="0.2">
      <c r="B3741" s="4" t="str">
        <f t="shared" si="130"/>
        <v>0008820100</v>
      </c>
      <c r="C3741" s="5" t="str">
        <f>"026107"</f>
        <v>026107</v>
      </c>
      <c r="D3741" s="12" t="s">
        <v>911</v>
      </c>
      <c r="E3741" s="14" t="s">
        <v>82</v>
      </c>
      <c r="F3741" s="12" t="s">
        <v>3</v>
      </c>
      <c r="G3741" s="15">
        <v>100</v>
      </c>
      <c r="H3741" s="12" t="s">
        <v>910</v>
      </c>
      <c r="I3741" s="12" t="s">
        <v>70</v>
      </c>
      <c r="K3741" s="16">
        <v>8.7799999999999994</v>
      </c>
      <c r="L3741" s="16">
        <v>14</v>
      </c>
      <c r="M3741" s="16">
        <v>12.27</v>
      </c>
    </row>
    <row r="3742" spans="2:13" ht="33.75" outlineLevel="3" x14ac:dyDescent="0.2">
      <c r="B3742" s="4" t="str">
        <f t="shared" si="130"/>
        <v>0008820100</v>
      </c>
      <c r="C3742" s="5" t="str">
        <f>"040091"</f>
        <v>040091</v>
      </c>
      <c r="D3742" s="12" t="s">
        <v>913</v>
      </c>
      <c r="E3742" s="14" t="s">
        <v>82</v>
      </c>
      <c r="F3742" s="12" t="s">
        <v>3</v>
      </c>
      <c r="G3742" s="15">
        <v>100</v>
      </c>
      <c r="H3742" s="12" t="s">
        <v>910</v>
      </c>
      <c r="I3742" s="12" t="s">
        <v>30</v>
      </c>
      <c r="K3742" s="16">
        <v>8.7799999999999994</v>
      </c>
      <c r="L3742" s="16">
        <v>14</v>
      </c>
      <c r="M3742" s="16">
        <v>12.27</v>
      </c>
    </row>
    <row r="3743" spans="2:13" outlineLevel="3" x14ac:dyDescent="0.2">
      <c r="B3743" s="4" t="str">
        <f t="shared" si="130"/>
        <v>0008820100</v>
      </c>
      <c r="C3743" s="5" t="str">
        <f>"118101"</f>
        <v>118101</v>
      </c>
      <c r="D3743" s="12" t="s">
        <v>914</v>
      </c>
      <c r="E3743" s="14" t="s">
        <v>82</v>
      </c>
      <c r="F3743" s="12" t="s">
        <v>73</v>
      </c>
      <c r="G3743" s="15">
        <v>98</v>
      </c>
      <c r="H3743" s="12" t="s">
        <v>910</v>
      </c>
      <c r="I3743" s="12" t="s">
        <v>28</v>
      </c>
      <c r="K3743" s="16">
        <v>8.7799999999999994</v>
      </c>
      <c r="L3743" s="16">
        <v>14</v>
      </c>
      <c r="M3743" s="16">
        <v>12.27</v>
      </c>
    </row>
    <row r="3744" spans="2:13" ht="33.75" outlineLevel="3" x14ac:dyDescent="0.2">
      <c r="B3744" s="4" t="str">
        <f t="shared" si="130"/>
        <v>0008820100</v>
      </c>
      <c r="C3744" s="5" t="str">
        <f>"434169"</f>
        <v>434169</v>
      </c>
      <c r="D3744" s="12" t="s">
        <v>916</v>
      </c>
      <c r="E3744" s="14" t="s">
        <v>82</v>
      </c>
      <c r="F3744" s="12" t="s">
        <v>3</v>
      </c>
      <c r="G3744" s="15">
        <v>98</v>
      </c>
      <c r="H3744" s="12" t="s">
        <v>910</v>
      </c>
      <c r="I3744" s="12" t="s">
        <v>298</v>
      </c>
      <c r="K3744" s="16">
        <v>8.7799999999999994</v>
      </c>
      <c r="L3744" s="16">
        <v>14</v>
      </c>
      <c r="M3744" s="16">
        <v>12.27</v>
      </c>
    </row>
    <row r="3745" spans="1:13" ht="33.75" outlineLevel="3" x14ac:dyDescent="0.2">
      <c r="B3745" s="4" t="str">
        <f t="shared" si="130"/>
        <v>0008820100</v>
      </c>
      <c r="C3745" s="5" t="str">
        <f>"464013"</f>
        <v>464013</v>
      </c>
      <c r="D3745" s="12" t="s">
        <v>932</v>
      </c>
      <c r="E3745" s="14" t="s">
        <v>82</v>
      </c>
      <c r="F3745" s="12" t="s">
        <v>3</v>
      </c>
      <c r="G3745" s="15">
        <v>100</v>
      </c>
      <c r="H3745" s="12" t="s">
        <v>910</v>
      </c>
      <c r="I3745" s="12" t="s">
        <v>68</v>
      </c>
      <c r="K3745" s="16">
        <v>8.7799999999999994</v>
      </c>
      <c r="L3745" s="16">
        <v>14</v>
      </c>
      <c r="M3745" s="16">
        <v>12.27</v>
      </c>
    </row>
    <row r="3746" spans="1:13" ht="33.75" outlineLevel="3" x14ac:dyDescent="0.2">
      <c r="B3746" s="4" t="str">
        <f t="shared" si="130"/>
        <v>0008820100</v>
      </c>
      <c r="C3746" s="5" t="str">
        <f>"073990"</f>
        <v>073990</v>
      </c>
      <c r="D3746" s="12" t="s">
        <v>936</v>
      </c>
      <c r="E3746" s="14" t="s">
        <v>82</v>
      </c>
      <c r="F3746" s="12" t="s">
        <v>3</v>
      </c>
      <c r="G3746" s="15">
        <v>100</v>
      </c>
      <c r="H3746" s="12" t="s">
        <v>910</v>
      </c>
      <c r="I3746" s="12" t="s">
        <v>11</v>
      </c>
      <c r="K3746" s="16">
        <v>8.6199999999999992</v>
      </c>
      <c r="L3746" s="16">
        <v>13.75</v>
      </c>
      <c r="M3746" s="16">
        <v>12.27</v>
      </c>
    </row>
    <row r="3747" spans="1:13" ht="33.75" outlineLevel="3" x14ac:dyDescent="0.2">
      <c r="B3747" s="4" t="str">
        <f t="shared" si="130"/>
        <v>0008820100</v>
      </c>
      <c r="C3747" s="5" t="str">
        <f>"174627"</f>
        <v>174627</v>
      </c>
      <c r="D3747" s="12" t="s">
        <v>915</v>
      </c>
      <c r="E3747" s="14" t="s">
        <v>82</v>
      </c>
      <c r="F3747" s="12" t="s">
        <v>3</v>
      </c>
      <c r="G3747" s="15">
        <v>98</v>
      </c>
      <c r="H3747" s="12" t="s">
        <v>910</v>
      </c>
      <c r="I3747" s="12" t="s">
        <v>79</v>
      </c>
      <c r="K3747" s="16">
        <v>6.75</v>
      </c>
      <c r="L3747" s="16">
        <v>10.77</v>
      </c>
      <c r="M3747" s="16">
        <v>12.27</v>
      </c>
    </row>
    <row r="3748" spans="1:13" outlineLevel="2" x14ac:dyDescent="0.2"/>
    <row r="3749" spans="1:13" outlineLevel="3" x14ac:dyDescent="0.2">
      <c r="B3749" s="4" t="str">
        <f>"0012060030"</f>
        <v>0012060030</v>
      </c>
      <c r="C3749" s="5" t="str">
        <f>"053336"</f>
        <v>053336</v>
      </c>
      <c r="D3749" s="12" t="s">
        <v>911</v>
      </c>
      <c r="E3749" s="14" t="s">
        <v>179</v>
      </c>
      <c r="F3749" s="12" t="s">
        <v>1187</v>
      </c>
      <c r="G3749" s="15">
        <v>30</v>
      </c>
      <c r="H3749" s="12" t="s">
        <v>910</v>
      </c>
      <c r="I3749" s="12" t="s">
        <v>70</v>
      </c>
      <c r="K3749" s="16">
        <v>18.82</v>
      </c>
      <c r="L3749" s="16">
        <v>28.96</v>
      </c>
      <c r="M3749" s="16">
        <v>28.96</v>
      </c>
    </row>
    <row r="3750" spans="1:13" ht="22.5" outlineLevel="3" x14ac:dyDescent="0.2">
      <c r="B3750" s="4" t="str">
        <f>"0012060030"</f>
        <v>0012060030</v>
      </c>
      <c r="C3750" s="5" t="str">
        <f>"011526"</f>
        <v>011526</v>
      </c>
      <c r="D3750" s="12" t="s">
        <v>912</v>
      </c>
      <c r="E3750" s="14" t="s">
        <v>179</v>
      </c>
      <c r="F3750" s="12" t="s">
        <v>1187</v>
      </c>
      <c r="G3750" s="15">
        <v>28</v>
      </c>
      <c r="H3750" s="12" t="s">
        <v>910</v>
      </c>
      <c r="I3750" s="12" t="s">
        <v>170</v>
      </c>
      <c r="K3750" s="16">
        <v>17.82</v>
      </c>
      <c r="L3750" s="16">
        <v>27.48</v>
      </c>
      <c r="M3750" s="16">
        <v>28.96</v>
      </c>
    </row>
    <row r="3751" spans="1:13" outlineLevel="3" x14ac:dyDescent="0.2">
      <c r="B3751" s="4" t="str">
        <f>"0012060030"</f>
        <v>0012060030</v>
      </c>
      <c r="C3751" s="5" t="str">
        <f>"117882"</f>
        <v>117882</v>
      </c>
      <c r="D3751" s="12" t="s">
        <v>916</v>
      </c>
      <c r="E3751" s="14" t="s">
        <v>179</v>
      </c>
      <c r="F3751" s="12" t="s">
        <v>1187</v>
      </c>
      <c r="G3751" s="15">
        <v>28</v>
      </c>
      <c r="H3751" s="12" t="s">
        <v>910</v>
      </c>
      <c r="I3751" s="12" t="s">
        <v>298</v>
      </c>
      <c r="K3751" s="16">
        <v>17.809999999999999</v>
      </c>
      <c r="L3751" s="16">
        <v>27.46</v>
      </c>
      <c r="M3751" s="16">
        <v>28.96</v>
      </c>
    </row>
    <row r="3752" spans="1:13" outlineLevel="1" x14ac:dyDescent="0.2">
      <c r="A3752" s="3"/>
    </row>
    <row r="3753" spans="1:13" outlineLevel="2" x14ac:dyDescent="0.2">
      <c r="A3753" s="3" t="s">
        <v>1592</v>
      </c>
    </row>
    <row r="3754" spans="1:13" ht="33.75" outlineLevel="3" x14ac:dyDescent="0.2">
      <c r="B3754" s="4" t="str">
        <f>"0004290030"</f>
        <v>0004290030</v>
      </c>
      <c r="C3754" s="5" t="str">
        <f>"007544"</f>
        <v>007544</v>
      </c>
      <c r="D3754" s="12" t="s">
        <v>554</v>
      </c>
      <c r="E3754" s="14" t="s">
        <v>82</v>
      </c>
      <c r="F3754" s="12" t="s">
        <v>3</v>
      </c>
      <c r="G3754" s="15">
        <v>30</v>
      </c>
      <c r="H3754" s="12" t="s">
        <v>555</v>
      </c>
      <c r="I3754" s="12" t="s">
        <v>556</v>
      </c>
      <c r="K3754" s="16">
        <v>3.28</v>
      </c>
      <c r="L3754" s="16">
        <v>5.24</v>
      </c>
      <c r="M3754" s="16">
        <v>6.74</v>
      </c>
    </row>
    <row r="3755" spans="1:13" outlineLevel="2" x14ac:dyDescent="0.2"/>
    <row r="3756" spans="1:13" ht="33.75" outlineLevel="3" x14ac:dyDescent="0.2">
      <c r="B3756" s="4" t="str">
        <f>"0004290050"</f>
        <v>0004290050</v>
      </c>
      <c r="C3756" s="5" t="str">
        <f>"009912"</f>
        <v>009912</v>
      </c>
      <c r="D3756" s="12" t="s">
        <v>557</v>
      </c>
      <c r="E3756" s="14" t="s">
        <v>82</v>
      </c>
      <c r="F3756" s="12" t="s">
        <v>3</v>
      </c>
      <c r="G3756" s="15">
        <v>50</v>
      </c>
      <c r="H3756" s="12" t="s">
        <v>555</v>
      </c>
      <c r="I3756" s="12" t="s">
        <v>5</v>
      </c>
      <c r="K3756" s="16">
        <v>5.51</v>
      </c>
      <c r="L3756" s="16">
        <v>8.7899999999999991</v>
      </c>
      <c r="M3756" s="16">
        <v>10.29</v>
      </c>
    </row>
    <row r="3757" spans="1:13" outlineLevel="2" x14ac:dyDescent="0.2"/>
    <row r="3758" spans="1:13" ht="33.75" outlineLevel="3" x14ac:dyDescent="0.2">
      <c r="B3758" s="4" t="str">
        <f t="shared" ref="B3758:B3763" si="131">"0004290100"</f>
        <v>0004290100</v>
      </c>
      <c r="C3758" s="5" t="str">
        <f>"008519"</f>
        <v>008519</v>
      </c>
      <c r="D3758" s="12" t="s">
        <v>557</v>
      </c>
      <c r="E3758" s="14" t="s">
        <v>82</v>
      </c>
      <c r="F3758" s="12" t="s">
        <v>3</v>
      </c>
      <c r="G3758" s="15">
        <v>100</v>
      </c>
      <c r="H3758" s="12" t="s">
        <v>555</v>
      </c>
      <c r="I3758" s="12" t="s">
        <v>5</v>
      </c>
      <c r="K3758" s="16">
        <v>5.09</v>
      </c>
      <c r="L3758" s="16">
        <v>8.1199999999999992</v>
      </c>
      <c r="M3758" s="16">
        <v>8.1199999999999992</v>
      </c>
    </row>
    <row r="3759" spans="1:13" ht="33.75" outlineLevel="3" x14ac:dyDescent="0.2">
      <c r="B3759" s="4" t="str">
        <f t="shared" si="131"/>
        <v>0004290100</v>
      </c>
      <c r="C3759" s="5" t="str">
        <f>"008699"</f>
        <v>008699</v>
      </c>
      <c r="D3759" s="12" t="s">
        <v>558</v>
      </c>
      <c r="E3759" s="14" t="s">
        <v>82</v>
      </c>
      <c r="F3759" s="12" t="s">
        <v>3</v>
      </c>
      <c r="G3759" s="15">
        <v>100</v>
      </c>
      <c r="H3759" s="12" t="s">
        <v>555</v>
      </c>
      <c r="I3759" s="12" t="s">
        <v>68</v>
      </c>
      <c r="K3759" s="16">
        <v>5.09</v>
      </c>
      <c r="L3759" s="16">
        <v>8.1199999999999992</v>
      </c>
      <c r="M3759" s="16">
        <v>8.1199999999999992</v>
      </c>
    </row>
    <row r="3760" spans="1:13" ht="33.75" outlineLevel="3" x14ac:dyDescent="0.2">
      <c r="B3760" s="4" t="str">
        <f t="shared" si="131"/>
        <v>0004290100</v>
      </c>
      <c r="C3760" s="5" t="str">
        <f>"021489"</f>
        <v>021489</v>
      </c>
      <c r="D3760" s="12" t="s">
        <v>559</v>
      </c>
      <c r="E3760" s="14" t="s">
        <v>82</v>
      </c>
      <c r="F3760" s="12" t="s">
        <v>3</v>
      </c>
      <c r="G3760" s="15">
        <v>100</v>
      </c>
      <c r="H3760" s="12" t="s">
        <v>555</v>
      </c>
      <c r="I3760" s="12" t="s">
        <v>58</v>
      </c>
      <c r="K3760" s="16">
        <v>5.09</v>
      </c>
      <c r="L3760" s="16">
        <v>8.1199999999999992</v>
      </c>
      <c r="M3760" s="16">
        <v>8.1199999999999992</v>
      </c>
    </row>
    <row r="3761" spans="1:13" ht="33.75" outlineLevel="3" x14ac:dyDescent="0.2">
      <c r="B3761" s="4" t="str">
        <f t="shared" si="131"/>
        <v>0004290100</v>
      </c>
      <c r="C3761" s="5" t="str">
        <f>"007519"</f>
        <v>007519</v>
      </c>
      <c r="D3761" s="12" t="s">
        <v>554</v>
      </c>
      <c r="E3761" s="14" t="s">
        <v>82</v>
      </c>
      <c r="F3761" s="12" t="s">
        <v>3</v>
      </c>
      <c r="G3761" s="15">
        <v>100</v>
      </c>
      <c r="H3761" s="12" t="s">
        <v>555</v>
      </c>
      <c r="I3761" s="12" t="s">
        <v>556</v>
      </c>
      <c r="K3761" s="16">
        <v>5.08</v>
      </c>
      <c r="L3761" s="16">
        <v>8.11</v>
      </c>
      <c r="M3761" s="16">
        <v>8.1199999999999992</v>
      </c>
    </row>
    <row r="3762" spans="1:13" ht="33.75" outlineLevel="3" x14ac:dyDescent="0.2">
      <c r="B3762" s="4" t="str">
        <f t="shared" si="131"/>
        <v>0004290100</v>
      </c>
      <c r="C3762" s="5" t="str">
        <f>"057932"</f>
        <v>057932</v>
      </c>
      <c r="D3762" s="12" t="s">
        <v>560</v>
      </c>
      <c r="E3762" s="14" t="s">
        <v>82</v>
      </c>
      <c r="F3762" s="12" t="s">
        <v>3</v>
      </c>
      <c r="G3762" s="15">
        <v>100</v>
      </c>
      <c r="H3762" s="12" t="s">
        <v>555</v>
      </c>
      <c r="I3762" s="12" t="s">
        <v>64</v>
      </c>
      <c r="K3762" s="16">
        <v>4.2</v>
      </c>
      <c r="L3762" s="16">
        <v>6.7</v>
      </c>
      <c r="M3762" s="16">
        <v>8.1199999999999992</v>
      </c>
    </row>
    <row r="3763" spans="1:13" ht="33.75" outlineLevel="3" x14ac:dyDescent="0.2">
      <c r="B3763" s="4" t="str">
        <f t="shared" si="131"/>
        <v>0004290100</v>
      </c>
      <c r="C3763" s="5" t="str">
        <f>"110862"</f>
        <v>110862</v>
      </c>
      <c r="D3763" s="12" t="s">
        <v>561</v>
      </c>
      <c r="E3763" s="14" t="s">
        <v>82</v>
      </c>
      <c r="F3763" s="12" t="s">
        <v>3</v>
      </c>
      <c r="G3763" s="15">
        <v>100</v>
      </c>
      <c r="H3763" s="12" t="s">
        <v>555</v>
      </c>
      <c r="I3763" s="12" t="s">
        <v>20</v>
      </c>
      <c r="K3763" s="16">
        <v>4.1500000000000004</v>
      </c>
      <c r="L3763" s="16">
        <v>6.62</v>
      </c>
      <c r="M3763" s="16">
        <v>8.1199999999999992</v>
      </c>
    </row>
    <row r="3764" spans="1:13" outlineLevel="1" x14ac:dyDescent="0.2">
      <c r="A3764" s="3"/>
    </row>
    <row r="3765" spans="1:13" outlineLevel="2" x14ac:dyDescent="0.2">
      <c r="A3765" s="3" t="s">
        <v>1593</v>
      </c>
    </row>
    <row r="3766" spans="1:13" ht="33.75" outlineLevel="3" x14ac:dyDescent="0.2">
      <c r="B3766" s="4" t="str">
        <f>"0006600030"</f>
        <v>0006600030</v>
      </c>
      <c r="C3766" s="5" t="str">
        <f>"041750"</f>
        <v>041750</v>
      </c>
      <c r="D3766" s="12" t="s">
        <v>752</v>
      </c>
      <c r="E3766" s="14" t="s">
        <v>111</v>
      </c>
      <c r="F3766" s="12" t="s">
        <v>3</v>
      </c>
      <c r="G3766" s="15">
        <v>28</v>
      </c>
      <c r="H3766" s="12" t="s">
        <v>753</v>
      </c>
      <c r="I3766" s="12" t="s">
        <v>355</v>
      </c>
      <c r="K3766" s="16">
        <v>4.8099999999999996</v>
      </c>
      <c r="L3766" s="16">
        <v>7.67</v>
      </c>
      <c r="M3766" s="16">
        <v>9</v>
      </c>
    </row>
    <row r="3767" spans="1:13" ht="33.75" outlineLevel="3" x14ac:dyDescent="0.2">
      <c r="B3767" s="4" t="str">
        <f>"0006600030"</f>
        <v>0006600030</v>
      </c>
      <c r="C3767" s="5" t="str">
        <f>"051006"</f>
        <v>051006</v>
      </c>
      <c r="D3767" s="12" t="s">
        <v>754</v>
      </c>
      <c r="E3767" s="14" t="s">
        <v>111</v>
      </c>
      <c r="F3767" s="12" t="s">
        <v>3</v>
      </c>
      <c r="G3767" s="15">
        <v>30</v>
      </c>
      <c r="H3767" s="12" t="s">
        <v>753</v>
      </c>
      <c r="I3767" s="12" t="s">
        <v>60</v>
      </c>
      <c r="K3767" s="16">
        <v>4.7</v>
      </c>
      <c r="L3767" s="16">
        <v>7.5</v>
      </c>
      <c r="M3767" s="16">
        <v>9</v>
      </c>
    </row>
    <row r="3768" spans="1:13" outlineLevel="2" x14ac:dyDescent="0.2"/>
    <row r="3769" spans="1:13" ht="33.75" outlineLevel="3" x14ac:dyDescent="0.2">
      <c r="B3769" s="4" t="str">
        <f>"0006600100"</f>
        <v>0006600100</v>
      </c>
      <c r="C3769" s="5" t="str">
        <f>"008641"</f>
        <v>008641</v>
      </c>
      <c r="D3769" s="12" t="s">
        <v>755</v>
      </c>
      <c r="E3769" s="14" t="s">
        <v>111</v>
      </c>
      <c r="F3769" s="12" t="s">
        <v>3</v>
      </c>
      <c r="G3769" s="15">
        <v>100</v>
      </c>
      <c r="H3769" s="12" t="s">
        <v>753</v>
      </c>
      <c r="I3769" s="12" t="s">
        <v>89</v>
      </c>
      <c r="K3769" s="16">
        <v>15.32</v>
      </c>
      <c r="L3769" s="16">
        <v>23.76</v>
      </c>
      <c r="M3769" s="16">
        <v>21.82</v>
      </c>
    </row>
    <row r="3770" spans="1:13" ht="33.75" outlineLevel="3" x14ac:dyDescent="0.2">
      <c r="B3770" s="4" t="str">
        <f>"0006600100"</f>
        <v>0006600100</v>
      </c>
      <c r="C3770" s="5" t="str">
        <f>"041761"</f>
        <v>041761</v>
      </c>
      <c r="D3770" s="12" t="s">
        <v>752</v>
      </c>
      <c r="E3770" s="14" t="s">
        <v>111</v>
      </c>
      <c r="F3770" s="12" t="s">
        <v>3</v>
      </c>
      <c r="G3770" s="15">
        <v>100</v>
      </c>
      <c r="H3770" s="12" t="s">
        <v>753</v>
      </c>
      <c r="I3770" s="12" t="s">
        <v>355</v>
      </c>
      <c r="K3770" s="16">
        <v>14.12</v>
      </c>
      <c r="L3770" s="16">
        <v>21.98</v>
      </c>
      <c r="M3770" s="16">
        <v>21.82</v>
      </c>
    </row>
    <row r="3771" spans="1:13" ht="33.75" outlineLevel="3" x14ac:dyDescent="0.2">
      <c r="B3771" s="4" t="str">
        <f>"0006600100"</f>
        <v>0006600100</v>
      </c>
      <c r="C3771" s="5" t="str">
        <f>"066849"</f>
        <v>066849</v>
      </c>
      <c r="D3771" s="12" t="s">
        <v>756</v>
      </c>
      <c r="E3771" s="14" t="s">
        <v>111</v>
      </c>
      <c r="F3771" s="12" t="s">
        <v>3</v>
      </c>
      <c r="G3771" s="15">
        <v>100</v>
      </c>
      <c r="H3771" s="12" t="s">
        <v>753</v>
      </c>
      <c r="I3771" s="12" t="s">
        <v>68</v>
      </c>
      <c r="K3771" s="16">
        <v>14.12</v>
      </c>
      <c r="L3771" s="16">
        <v>21.98</v>
      </c>
      <c r="M3771" s="16">
        <v>21.82</v>
      </c>
    </row>
    <row r="3772" spans="1:13" ht="33.75" outlineLevel="3" x14ac:dyDescent="0.2">
      <c r="B3772" s="4" t="str">
        <f>"0006600100"</f>
        <v>0006600100</v>
      </c>
      <c r="C3772" s="5" t="str">
        <f>"070528"</f>
        <v>070528</v>
      </c>
      <c r="D3772" s="12" t="s">
        <v>757</v>
      </c>
      <c r="E3772" s="14" t="s">
        <v>111</v>
      </c>
      <c r="F3772" s="12" t="s">
        <v>3</v>
      </c>
      <c r="G3772" s="15">
        <v>100</v>
      </c>
      <c r="H3772" s="12" t="s">
        <v>753</v>
      </c>
      <c r="I3772" s="12" t="s">
        <v>5</v>
      </c>
      <c r="K3772" s="16">
        <v>14.12</v>
      </c>
      <c r="L3772" s="16">
        <v>21.98</v>
      </c>
      <c r="M3772" s="16">
        <v>21.82</v>
      </c>
    </row>
    <row r="3773" spans="1:13" ht="33.75" outlineLevel="3" x14ac:dyDescent="0.2">
      <c r="B3773" s="4" t="str">
        <f>"0006600100"</f>
        <v>0006600100</v>
      </c>
      <c r="C3773" s="5" t="str">
        <f>"051017"</f>
        <v>051017</v>
      </c>
      <c r="D3773" s="12" t="s">
        <v>754</v>
      </c>
      <c r="E3773" s="14" t="s">
        <v>111</v>
      </c>
      <c r="F3773" s="12" t="s">
        <v>3</v>
      </c>
      <c r="G3773" s="15">
        <v>100</v>
      </c>
      <c r="H3773" s="12" t="s">
        <v>753</v>
      </c>
      <c r="I3773" s="12" t="s">
        <v>60</v>
      </c>
      <c r="K3773" s="16">
        <v>13</v>
      </c>
      <c r="L3773" s="16">
        <v>20.32</v>
      </c>
      <c r="M3773" s="16">
        <v>21.82</v>
      </c>
    </row>
    <row r="3774" spans="1:13" outlineLevel="1" x14ac:dyDescent="0.2">
      <c r="A3774" s="3"/>
    </row>
    <row r="3775" spans="1:13" outlineLevel="2" x14ac:dyDescent="0.2">
      <c r="A3775" s="3" t="s">
        <v>1594</v>
      </c>
    </row>
    <row r="3776" spans="1:13" outlineLevel="3" x14ac:dyDescent="0.2">
      <c r="B3776" s="4" t="str">
        <f>"0004300030"</f>
        <v>0004300030</v>
      </c>
      <c r="C3776" s="5" t="str">
        <f>"010174"</f>
        <v>010174</v>
      </c>
      <c r="D3776" s="12" t="s">
        <v>562</v>
      </c>
      <c r="E3776" s="14" t="s">
        <v>82</v>
      </c>
      <c r="F3776" s="12" t="s">
        <v>73</v>
      </c>
      <c r="G3776" s="15">
        <v>30</v>
      </c>
      <c r="H3776" s="12" t="s">
        <v>563</v>
      </c>
      <c r="I3776" s="12" t="s">
        <v>556</v>
      </c>
      <c r="K3776" s="16">
        <v>3.3</v>
      </c>
      <c r="L3776" s="16">
        <v>5.27</v>
      </c>
      <c r="M3776" s="16">
        <v>6.77</v>
      </c>
    </row>
    <row r="3777" spans="1:13" outlineLevel="2" x14ac:dyDescent="0.2"/>
    <row r="3778" spans="1:13" ht="22.5" outlineLevel="3" x14ac:dyDescent="0.2">
      <c r="B3778" s="4" t="str">
        <f>"0004300100"</f>
        <v>0004300100</v>
      </c>
      <c r="C3778" s="5" t="str">
        <f>"012040"</f>
        <v>012040</v>
      </c>
      <c r="D3778" s="12" t="s">
        <v>565</v>
      </c>
      <c r="E3778" s="14" t="s">
        <v>82</v>
      </c>
      <c r="F3778" s="12" t="s">
        <v>73</v>
      </c>
      <c r="G3778" s="15">
        <v>100</v>
      </c>
      <c r="H3778" s="12" t="s">
        <v>563</v>
      </c>
      <c r="I3778" s="12" t="s">
        <v>68</v>
      </c>
      <c r="K3778" s="16">
        <v>8.09</v>
      </c>
      <c r="L3778" s="16">
        <v>12.9</v>
      </c>
      <c r="M3778" s="16">
        <v>12.92</v>
      </c>
    </row>
    <row r="3779" spans="1:13" ht="22.5" outlineLevel="3" x14ac:dyDescent="0.2">
      <c r="B3779" s="4" t="str">
        <f>"0004300100"</f>
        <v>0004300100</v>
      </c>
      <c r="C3779" s="5" t="str">
        <f>"030652"</f>
        <v>030652</v>
      </c>
      <c r="D3779" s="12" t="s">
        <v>566</v>
      </c>
      <c r="E3779" s="14" t="s">
        <v>82</v>
      </c>
      <c r="F3779" s="12" t="s">
        <v>432</v>
      </c>
      <c r="G3779" s="15">
        <v>100</v>
      </c>
      <c r="H3779" s="12" t="s">
        <v>563</v>
      </c>
      <c r="I3779" s="12" t="s">
        <v>70</v>
      </c>
      <c r="K3779" s="16">
        <v>8.09</v>
      </c>
      <c r="L3779" s="16">
        <v>12.9</v>
      </c>
      <c r="M3779" s="16">
        <v>12.92</v>
      </c>
    </row>
    <row r="3780" spans="1:13" outlineLevel="3" x14ac:dyDescent="0.2">
      <c r="B3780" s="4" t="str">
        <f>"0004300100"</f>
        <v>0004300100</v>
      </c>
      <c r="C3780" s="5" t="str">
        <f>"010152"</f>
        <v>010152</v>
      </c>
      <c r="D3780" s="12" t="s">
        <v>562</v>
      </c>
      <c r="E3780" s="14" t="s">
        <v>82</v>
      </c>
      <c r="F3780" s="12" t="s">
        <v>73</v>
      </c>
      <c r="G3780" s="15">
        <v>100</v>
      </c>
      <c r="H3780" s="12" t="s">
        <v>563</v>
      </c>
      <c r="I3780" s="12" t="s">
        <v>556</v>
      </c>
      <c r="K3780" s="16">
        <v>8.09</v>
      </c>
      <c r="L3780" s="16">
        <v>12.9</v>
      </c>
      <c r="M3780" s="16">
        <v>12.92</v>
      </c>
    </row>
    <row r="3781" spans="1:13" outlineLevel="3" x14ac:dyDescent="0.2">
      <c r="B3781" s="4" t="str">
        <f>"0004300100"</f>
        <v>0004300100</v>
      </c>
      <c r="C3781" s="5" t="str">
        <f>"010521"</f>
        <v>010521</v>
      </c>
      <c r="D3781" s="12" t="s">
        <v>564</v>
      </c>
      <c r="E3781" s="14" t="s">
        <v>82</v>
      </c>
      <c r="F3781" s="12" t="s">
        <v>73</v>
      </c>
      <c r="G3781" s="15">
        <v>100</v>
      </c>
      <c r="H3781" s="12" t="s">
        <v>563</v>
      </c>
      <c r="I3781" s="12" t="s">
        <v>5</v>
      </c>
      <c r="K3781" s="16">
        <v>7.16</v>
      </c>
      <c r="L3781" s="16">
        <v>11.42</v>
      </c>
      <c r="M3781" s="16">
        <v>12.92</v>
      </c>
    </row>
    <row r="3782" spans="1:13" outlineLevel="1" x14ac:dyDescent="0.2">
      <c r="A3782" s="3"/>
    </row>
    <row r="3783" spans="1:13" outlineLevel="2" x14ac:dyDescent="0.2">
      <c r="A3783" s="3" t="s">
        <v>1595</v>
      </c>
    </row>
    <row r="3784" spans="1:13" ht="33.75" outlineLevel="3" x14ac:dyDescent="0.2">
      <c r="B3784" s="4" t="str">
        <f>"0012070100"</f>
        <v>0012070100</v>
      </c>
      <c r="C3784" s="5" t="str">
        <f>"015095"</f>
        <v>015095</v>
      </c>
      <c r="D3784" s="12" t="s">
        <v>1188</v>
      </c>
      <c r="E3784" s="14" t="s">
        <v>82</v>
      </c>
      <c r="F3784" s="12" t="s">
        <v>3</v>
      </c>
      <c r="G3784" s="15">
        <v>100</v>
      </c>
      <c r="H3784" s="12" t="s">
        <v>1189</v>
      </c>
      <c r="I3784" s="12" t="s">
        <v>970</v>
      </c>
      <c r="K3784" s="16">
        <v>8.74</v>
      </c>
      <c r="L3784" s="16">
        <v>13.94</v>
      </c>
      <c r="M3784" s="16">
        <v>15.44</v>
      </c>
    </row>
    <row r="3785" spans="1:13" ht="33.75" outlineLevel="3" x14ac:dyDescent="0.2">
      <c r="B3785" s="4" t="str">
        <f>"0012070100"</f>
        <v>0012070100</v>
      </c>
      <c r="C3785" s="5" t="str">
        <f>"082252"</f>
        <v>082252</v>
      </c>
      <c r="D3785" s="12" t="s">
        <v>1190</v>
      </c>
      <c r="E3785" s="14" t="s">
        <v>82</v>
      </c>
      <c r="F3785" s="12" t="s">
        <v>3</v>
      </c>
      <c r="G3785" s="15">
        <v>100</v>
      </c>
      <c r="H3785" s="12" t="s">
        <v>1189</v>
      </c>
      <c r="I3785" s="12" t="s">
        <v>556</v>
      </c>
      <c r="K3785" s="16">
        <v>8.74</v>
      </c>
      <c r="L3785" s="16">
        <v>13.94</v>
      </c>
      <c r="M3785" s="16">
        <v>15.44</v>
      </c>
    </row>
    <row r="3786" spans="1:13" outlineLevel="2" x14ac:dyDescent="0.2"/>
    <row r="3787" spans="1:13" ht="33.75" outlineLevel="3" x14ac:dyDescent="0.2">
      <c r="B3787" s="4" t="str">
        <f>"0012080100"</f>
        <v>0012080100</v>
      </c>
      <c r="C3787" s="5" t="str">
        <f>"130550"</f>
        <v>130550</v>
      </c>
      <c r="D3787" s="12" t="s">
        <v>1190</v>
      </c>
      <c r="E3787" s="14" t="s">
        <v>14</v>
      </c>
      <c r="F3787" s="12" t="s">
        <v>3</v>
      </c>
      <c r="G3787" s="15">
        <v>100</v>
      </c>
      <c r="H3787" s="12" t="s">
        <v>1189</v>
      </c>
      <c r="I3787" s="12" t="s">
        <v>556</v>
      </c>
      <c r="K3787" s="16">
        <v>15.74</v>
      </c>
      <c r="L3787" s="16">
        <v>24.39</v>
      </c>
      <c r="M3787" s="16">
        <v>25.89</v>
      </c>
    </row>
    <row r="3788" spans="1:13" outlineLevel="1" x14ac:dyDescent="0.2">
      <c r="A3788" s="3"/>
    </row>
    <row r="3789" spans="1:13" outlineLevel="2" x14ac:dyDescent="0.2">
      <c r="A3789" s="3" t="s">
        <v>1596</v>
      </c>
    </row>
    <row r="3790" spans="1:13" ht="33.75" outlineLevel="3" x14ac:dyDescent="0.2">
      <c r="B3790" s="4" t="str">
        <f>"0006010030"</f>
        <v>0006010030</v>
      </c>
      <c r="C3790" s="5" t="str">
        <f>"051331"</f>
        <v>051331</v>
      </c>
      <c r="D3790" s="12" t="s">
        <v>728</v>
      </c>
      <c r="E3790" s="14" t="s">
        <v>729</v>
      </c>
      <c r="F3790" s="12" t="s">
        <v>3</v>
      </c>
      <c r="G3790" s="15">
        <v>30</v>
      </c>
      <c r="H3790" s="12" t="s">
        <v>730</v>
      </c>
      <c r="I3790" s="12" t="s">
        <v>11</v>
      </c>
      <c r="K3790" s="16">
        <v>4.9800000000000004</v>
      </c>
      <c r="L3790" s="16">
        <v>7.94</v>
      </c>
      <c r="M3790" s="16">
        <v>9.44</v>
      </c>
    </row>
    <row r="3791" spans="1:13" outlineLevel="1" x14ac:dyDescent="0.2">
      <c r="A3791" s="3"/>
    </row>
    <row r="3792" spans="1:13" outlineLevel="2" x14ac:dyDescent="0.2">
      <c r="A3792" s="3" t="s">
        <v>1597</v>
      </c>
    </row>
    <row r="3793" spans="2:13" ht="22.5" outlineLevel="3" x14ac:dyDescent="0.2">
      <c r="B3793" s="4" t="str">
        <f>"0004310120"</f>
        <v>0004310120</v>
      </c>
      <c r="C3793" s="5" t="str">
        <f>"097288"</f>
        <v>097288</v>
      </c>
      <c r="D3793" s="12" t="s">
        <v>571</v>
      </c>
      <c r="E3793" s="14" t="s">
        <v>568</v>
      </c>
      <c r="F3793" s="12" t="s">
        <v>34</v>
      </c>
      <c r="G3793" s="15" t="s">
        <v>569</v>
      </c>
      <c r="H3793" s="12" t="s">
        <v>570</v>
      </c>
      <c r="I3793" s="12" t="s">
        <v>572</v>
      </c>
      <c r="K3793" s="16">
        <v>3.21</v>
      </c>
      <c r="L3793" s="16">
        <v>5.12</v>
      </c>
      <c r="M3793" s="16">
        <v>4.37</v>
      </c>
    </row>
    <row r="3794" spans="2:13" outlineLevel="3" x14ac:dyDescent="0.2">
      <c r="B3794" s="4" t="str">
        <f>"0004310120"</f>
        <v>0004310120</v>
      </c>
      <c r="C3794" s="5" t="str">
        <f>"136459"</f>
        <v>136459</v>
      </c>
      <c r="D3794" s="12" t="s">
        <v>573</v>
      </c>
      <c r="E3794" s="14" t="s">
        <v>568</v>
      </c>
      <c r="F3794" s="12" t="s">
        <v>34</v>
      </c>
      <c r="G3794" s="15" t="s">
        <v>569</v>
      </c>
      <c r="H3794" s="12" t="s">
        <v>570</v>
      </c>
      <c r="I3794" s="12" t="s">
        <v>5</v>
      </c>
      <c r="K3794" s="16">
        <v>2.94</v>
      </c>
      <c r="L3794" s="16">
        <v>4.6900000000000004</v>
      </c>
      <c r="M3794" s="16">
        <v>4.37</v>
      </c>
    </row>
    <row r="3795" spans="2:13" ht="22.5" outlineLevel="3" x14ac:dyDescent="0.2">
      <c r="B3795" s="4" t="str">
        <f>"0004310120"</f>
        <v>0004310120</v>
      </c>
      <c r="C3795" s="5" t="str">
        <f>"395800"</f>
        <v>395800</v>
      </c>
      <c r="D3795" s="12" t="s">
        <v>574</v>
      </c>
      <c r="E3795" s="14" t="s">
        <v>568</v>
      </c>
      <c r="F3795" s="12" t="s">
        <v>34</v>
      </c>
      <c r="G3795" s="15" t="s">
        <v>569</v>
      </c>
      <c r="H3795" s="12" t="s">
        <v>570</v>
      </c>
      <c r="I3795" s="12" t="s">
        <v>68</v>
      </c>
      <c r="K3795" s="16">
        <v>2.94</v>
      </c>
      <c r="L3795" s="16">
        <v>4.6900000000000004</v>
      </c>
      <c r="M3795" s="16">
        <v>4.37</v>
      </c>
    </row>
    <row r="3796" spans="2:13" ht="22.5" outlineLevel="3" x14ac:dyDescent="0.2">
      <c r="B3796" s="4" t="str">
        <f>"0004310120"</f>
        <v>0004310120</v>
      </c>
      <c r="C3796" s="5" t="str">
        <f>"092764"</f>
        <v>092764</v>
      </c>
      <c r="D3796" s="12" t="s">
        <v>567</v>
      </c>
      <c r="E3796" s="14" t="s">
        <v>568</v>
      </c>
      <c r="F3796" s="12" t="s">
        <v>34</v>
      </c>
      <c r="G3796" s="15" t="s">
        <v>569</v>
      </c>
      <c r="H3796" s="12" t="s">
        <v>570</v>
      </c>
      <c r="I3796" s="12" t="s">
        <v>60</v>
      </c>
      <c r="K3796" s="16">
        <v>1.8</v>
      </c>
      <c r="L3796" s="16">
        <v>2.87</v>
      </c>
      <c r="M3796" s="16">
        <v>4.37</v>
      </c>
    </row>
    <row r="3797" spans="2:13" outlineLevel="2" x14ac:dyDescent="0.2"/>
    <row r="3798" spans="2:13" ht="33.75" outlineLevel="3" x14ac:dyDescent="0.2">
      <c r="B3798" s="4" t="str">
        <f>"0004320010"</f>
        <v>0004320010</v>
      </c>
      <c r="C3798" s="5" t="str">
        <f>"422099"</f>
        <v>422099</v>
      </c>
      <c r="D3798" s="12" t="s">
        <v>575</v>
      </c>
      <c r="E3798" s="14" t="s">
        <v>111</v>
      </c>
      <c r="F3798" s="12" t="s">
        <v>3</v>
      </c>
      <c r="G3798" s="15">
        <v>10</v>
      </c>
      <c r="H3798" s="12" t="s">
        <v>570</v>
      </c>
      <c r="I3798" s="12" t="s">
        <v>509</v>
      </c>
      <c r="K3798" s="16">
        <v>1.37</v>
      </c>
      <c r="L3798" s="16">
        <v>2.19</v>
      </c>
      <c r="M3798" s="16">
        <v>3.69</v>
      </c>
    </row>
    <row r="3799" spans="2:13" outlineLevel="2" x14ac:dyDescent="0.2"/>
    <row r="3800" spans="2:13" ht="33.75" outlineLevel="3" x14ac:dyDescent="0.2">
      <c r="B3800" s="4" t="str">
        <f t="shared" ref="B3800:B3805" si="132">"0004320030"</f>
        <v>0004320030</v>
      </c>
      <c r="C3800" s="5" t="str">
        <f>"125608"</f>
        <v>125608</v>
      </c>
      <c r="D3800" s="12" t="s">
        <v>574</v>
      </c>
      <c r="E3800" s="14" t="s">
        <v>111</v>
      </c>
      <c r="F3800" s="12" t="s">
        <v>3</v>
      </c>
      <c r="G3800" s="15">
        <v>30</v>
      </c>
      <c r="H3800" s="12" t="s">
        <v>570</v>
      </c>
      <c r="I3800" s="12" t="s">
        <v>68</v>
      </c>
      <c r="K3800" s="16">
        <v>4.0999999999999996</v>
      </c>
      <c r="L3800" s="16">
        <v>6.55</v>
      </c>
      <c r="M3800" s="16">
        <v>5.33</v>
      </c>
    </row>
    <row r="3801" spans="2:13" ht="33.75" outlineLevel="3" x14ac:dyDescent="0.2">
      <c r="B3801" s="4" t="str">
        <f t="shared" si="132"/>
        <v>0004320030</v>
      </c>
      <c r="C3801" s="5" t="str">
        <f>"154014"</f>
        <v>154014</v>
      </c>
      <c r="D3801" s="12" t="s">
        <v>576</v>
      </c>
      <c r="E3801" s="14" t="s">
        <v>111</v>
      </c>
      <c r="F3801" s="12" t="s">
        <v>3</v>
      </c>
      <c r="G3801" s="15">
        <v>30</v>
      </c>
      <c r="H3801" s="12" t="s">
        <v>570</v>
      </c>
      <c r="I3801" s="12" t="s">
        <v>577</v>
      </c>
      <c r="K3801" s="16">
        <v>4.0999999999999996</v>
      </c>
      <c r="L3801" s="16">
        <v>6.55</v>
      </c>
      <c r="M3801" s="16">
        <v>5.33</v>
      </c>
    </row>
    <row r="3802" spans="2:13" ht="33.75" outlineLevel="3" x14ac:dyDescent="0.2">
      <c r="B3802" s="4" t="str">
        <f t="shared" si="132"/>
        <v>0004320030</v>
      </c>
      <c r="C3802" s="5" t="str">
        <f>"571063"</f>
        <v>571063</v>
      </c>
      <c r="D3802" s="12" t="s">
        <v>575</v>
      </c>
      <c r="E3802" s="14" t="s">
        <v>111</v>
      </c>
      <c r="F3802" s="12" t="s">
        <v>3</v>
      </c>
      <c r="G3802" s="15">
        <v>30</v>
      </c>
      <c r="H3802" s="12" t="s">
        <v>570</v>
      </c>
      <c r="I3802" s="12" t="s">
        <v>509</v>
      </c>
      <c r="K3802" s="16">
        <v>4.0999999999999996</v>
      </c>
      <c r="L3802" s="16">
        <v>6.55</v>
      </c>
      <c r="M3802" s="16">
        <v>5.33</v>
      </c>
    </row>
    <row r="3803" spans="2:13" ht="33.75" outlineLevel="3" x14ac:dyDescent="0.2">
      <c r="B3803" s="4" t="str">
        <f t="shared" si="132"/>
        <v>0004320030</v>
      </c>
      <c r="C3803" s="5" t="str">
        <f>"599966"</f>
        <v>599966</v>
      </c>
      <c r="D3803" s="12" t="s">
        <v>579</v>
      </c>
      <c r="E3803" s="14" t="s">
        <v>111</v>
      </c>
      <c r="F3803" s="12" t="s">
        <v>3</v>
      </c>
      <c r="G3803" s="15">
        <v>30</v>
      </c>
      <c r="H3803" s="12" t="s">
        <v>570</v>
      </c>
      <c r="I3803" s="12" t="s">
        <v>70</v>
      </c>
      <c r="K3803" s="16">
        <v>4.0999999999999996</v>
      </c>
      <c r="L3803" s="16">
        <v>6.55</v>
      </c>
      <c r="M3803" s="16">
        <v>5.33</v>
      </c>
    </row>
    <row r="3804" spans="2:13" ht="33.75" outlineLevel="3" x14ac:dyDescent="0.2">
      <c r="B3804" s="4" t="str">
        <f t="shared" si="132"/>
        <v>0004320030</v>
      </c>
      <c r="C3804" s="5" t="str">
        <f>"380381"</f>
        <v>380381</v>
      </c>
      <c r="D3804" s="12" t="s">
        <v>578</v>
      </c>
      <c r="E3804" s="14" t="s">
        <v>111</v>
      </c>
      <c r="F3804" s="12" t="s">
        <v>3</v>
      </c>
      <c r="G3804" s="15">
        <v>30</v>
      </c>
      <c r="H3804" s="12" t="s">
        <v>570</v>
      </c>
      <c r="I3804" s="12" t="s">
        <v>11</v>
      </c>
      <c r="K3804" s="16">
        <v>3.5</v>
      </c>
      <c r="L3804" s="16">
        <v>5.59</v>
      </c>
      <c r="M3804" s="16">
        <v>5.33</v>
      </c>
    </row>
    <row r="3805" spans="2:13" ht="33.75" outlineLevel="3" x14ac:dyDescent="0.2">
      <c r="B3805" s="4" t="str">
        <f t="shared" si="132"/>
        <v>0004320030</v>
      </c>
      <c r="C3805" s="5" t="str">
        <f>"391871"</f>
        <v>391871</v>
      </c>
      <c r="D3805" s="12" t="s">
        <v>567</v>
      </c>
      <c r="E3805" s="14" t="s">
        <v>111</v>
      </c>
      <c r="F3805" s="12" t="s">
        <v>3</v>
      </c>
      <c r="G3805" s="15">
        <v>30</v>
      </c>
      <c r="H3805" s="12" t="s">
        <v>570</v>
      </c>
      <c r="I3805" s="12" t="s">
        <v>60</v>
      </c>
      <c r="K3805" s="16">
        <v>2.4</v>
      </c>
      <c r="L3805" s="16">
        <v>3.83</v>
      </c>
      <c r="M3805" s="16">
        <v>5.33</v>
      </c>
    </row>
    <row r="3806" spans="2:13" outlineLevel="2" x14ac:dyDescent="0.2"/>
    <row r="3807" spans="2:13" ht="33.75" outlineLevel="3" x14ac:dyDescent="0.2">
      <c r="B3807" s="4" t="str">
        <f t="shared" ref="B3807:B3812" si="133">"0004320100"</f>
        <v>0004320100</v>
      </c>
      <c r="C3807" s="5" t="str">
        <f>"083993"</f>
        <v>083993</v>
      </c>
      <c r="D3807" s="12" t="s">
        <v>579</v>
      </c>
      <c r="E3807" s="14" t="s">
        <v>111</v>
      </c>
      <c r="F3807" s="12" t="s">
        <v>3</v>
      </c>
      <c r="G3807" s="15">
        <v>100</v>
      </c>
      <c r="H3807" s="12" t="s">
        <v>570</v>
      </c>
      <c r="I3807" s="12" t="s">
        <v>70</v>
      </c>
      <c r="K3807" s="16">
        <v>11.91</v>
      </c>
      <c r="L3807" s="16">
        <v>18.7</v>
      </c>
      <c r="M3807" s="16">
        <v>15.86</v>
      </c>
    </row>
    <row r="3808" spans="2:13" ht="33.75" outlineLevel="3" x14ac:dyDescent="0.2">
      <c r="B3808" s="4" t="str">
        <f t="shared" si="133"/>
        <v>0004320100</v>
      </c>
      <c r="C3808" s="5" t="str">
        <f>"107799"</f>
        <v>107799</v>
      </c>
      <c r="D3808" s="12" t="s">
        <v>574</v>
      </c>
      <c r="E3808" s="14" t="s">
        <v>111</v>
      </c>
      <c r="F3808" s="12" t="s">
        <v>3</v>
      </c>
      <c r="G3808" s="15">
        <v>100</v>
      </c>
      <c r="H3808" s="12" t="s">
        <v>570</v>
      </c>
      <c r="I3808" s="12" t="s">
        <v>68</v>
      </c>
      <c r="K3808" s="16">
        <v>11.91</v>
      </c>
      <c r="L3808" s="16">
        <v>18.7</v>
      </c>
      <c r="M3808" s="16">
        <v>15.86</v>
      </c>
    </row>
    <row r="3809" spans="1:13" ht="33.75" outlineLevel="3" x14ac:dyDescent="0.2">
      <c r="B3809" s="4" t="str">
        <f t="shared" si="133"/>
        <v>0004320100</v>
      </c>
      <c r="C3809" s="5" t="str">
        <f>"188829"</f>
        <v>188829</v>
      </c>
      <c r="D3809" s="12" t="s">
        <v>575</v>
      </c>
      <c r="E3809" s="14" t="s">
        <v>111</v>
      </c>
      <c r="F3809" s="12" t="s">
        <v>3</v>
      </c>
      <c r="G3809" s="15">
        <v>100</v>
      </c>
      <c r="H3809" s="12" t="s">
        <v>570</v>
      </c>
      <c r="I3809" s="12" t="s">
        <v>509</v>
      </c>
      <c r="K3809" s="16">
        <v>11.91</v>
      </c>
      <c r="L3809" s="16">
        <v>18.7</v>
      </c>
      <c r="M3809" s="16">
        <v>15.86</v>
      </c>
    </row>
    <row r="3810" spans="1:13" ht="33.75" outlineLevel="3" x14ac:dyDescent="0.2">
      <c r="B3810" s="4" t="str">
        <f t="shared" si="133"/>
        <v>0004320100</v>
      </c>
      <c r="C3810" s="5" t="str">
        <f>"421938"</f>
        <v>421938</v>
      </c>
      <c r="D3810" s="12" t="s">
        <v>576</v>
      </c>
      <c r="E3810" s="14" t="s">
        <v>111</v>
      </c>
      <c r="F3810" s="12" t="s">
        <v>3</v>
      </c>
      <c r="G3810" s="15">
        <v>100</v>
      </c>
      <c r="H3810" s="12" t="s">
        <v>570</v>
      </c>
      <c r="I3810" s="12" t="s">
        <v>577</v>
      </c>
      <c r="K3810" s="16">
        <v>11.91</v>
      </c>
      <c r="L3810" s="16">
        <v>18.7</v>
      </c>
      <c r="M3810" s="16">
        <v>15.86</v>
      </c>
    </row>
    <row r="3811" spans="1:13" ht="33.75" outlineLevel="3" x14ac:dyDescent="0.2">
      <c r="B3811" s="4" t="str">
        <f t="shared" si="133"/>
        <v>0004320100</v>
      </c>
      <c r="C3811" s="5" t="str">
        <f>"176622"</f>
        <v>176622</v>
      </c>
      <c r="D3811" s="12" t="s">
        <v>578</v>
      </c>
      <c r="E3811" s="14" t="s">
        <v>111</v>
      </c>
      <c r="F3811" s="12" t="s">
        <v>3</v>
      </c>
      <c r="G3811" s="15">
        <v>100</v>
      </c>
      <c r="H3811" s="12" t="s">
        <v>570</v>
      </c>
      <c r="I3811" s="12" t="s">
        <v>11</v>
      </c>
      <c r="K3811" s="16">
        <v>10.9</v>
      </c>
      <c r="L3811" s="16">
        <v>17.2</v>
      </c>
      <c r="M3811" s="16">
        <v>15.86</v>
      </c>
    </row>
    <row r="3812" spans="1:13" ht="33.75" outlineLevel="3" x14ac:dyDescent="0.2">
      <c r="B3812" s="4" t="str">
        <f t="shared" si="133"/>
        <v>0004320100</v>
      </c>
      <c r="C3812" s="5" t="str">
        <f>"399400"</f>
        <v>399400</v>
      </c>
      <c r="D3812" s="12" t="s">
        <v>567</v>
      </c>
      <c r="E3812" s="14" t="s">
        <v>111</v>
      </c>
      <c r="F3812" s="12" t="s">
        <v>3</v>
      </c>
      <c r="G3812" s="15">
        <v>100</v>
      </c>
      <c r="H3812" s="12" t="s">
        <v>570</v>
      </c>
      <c r="I3812" s="12" t="s">
        <v>60</v>
      </c>
      <c r="K3812" s="16">
        <v>9</v>
      </c>
      <c r="L3812" s="16">
        <v>14.36</v>
      </c>
      <c r="M3812" s="16">
        <v>15.86</v>
      </c>
    </row>
    <row r="3813" spans="1:13" outlineLevel="1" x14ac:dyDescent="0.2">
      <c r="A3813" s="3"/>
    </row>
    <row r="3814" spans="1:13" outlineLevel="2" x14ac:dyDescent="0.2">
      <c r="A3814" s="3" t="s">
        <v>1598</v>
      </c>
    </row>
    <row r="3815" spans="1:13" outlineLevel="3" x14ac:dyDescent="0.2">
      <c r="B3815" s="4" t="str">
        <f>"0010950005"</f>
        <v>0010950005</v>
      </c>
      <c r="C3815" s="5" t="str">
        <f>"028895"</f>
        <v>028895</v>
      </c>
      <c r="D3815" s="12" t="s">
        <v>1086</v>
      </c>
      <c r="E3815" s="14" t="s">
        <v>1087</v>
      </c>
      <c r="F3815" s="12" t="s">
        <v>582</v>
      </c>
      <c r="G3815" s="15" t="s">
        <v>583</v>
      </c>
      <c r="H3815" s="12" t="s">
        <v>1088</v>
      </c>
      <c r="I3815" s="12" t="s">
        <v>298</v>
      </c>
      <c r="J3815" s="2" t="s">
        <v>1400</v>
      </c>
      <c r="K3815" s="16">
        <v>5.77</v>
      </c>
      <c r="L3815" s="16">
        <v>9.2100000000000009</v>
      </c>
      <c r="M3815" s="16">
        <v>10.71</v>
      </c>
    </row>
    <row r="3816" spans="1:13" outlineLevel="3" x14ac:dyDescent="0.2">
      <c r="B3816" s="4" t="str">
        <f>"0010950005"</f>
        <v>0010950005</v>
      </c>
      <c r="C3816" s="5" t="str">
        <f>"115642"</f>
        <v>115642</v>
      </c>
      <c r="D3816" s="12" t="s">
        <v>1089</v>
      </c>
      <c r="E3816" s="14" t="s">
        <v>1087</v>
      </c>
      <c r="F3816" s="12" t="s">
        <v>582</v>
      </c>
      <c r="G3816" s="15" t="s">
        <v>583</v>
      </c>
      <c r="H3816" s="12" t="s">
        <v>1088</v>
      </c>
      <c r="I3816" s="12" t="s">
        <v>585</v>
      </c>
      <c r="K3816" s="16">
        <v>5.77</v>
      </c>
      <c r="L3816" s="16">
        <v>9.2100000000000009</v>
      </c>
      <c r="M3816" s="16">
        <v>10.71</v>
      </c>
    </row>
    <row r="3817" spans="1:13" ht="22.5" outlineLevel="3" x14ac:dyDescent="0.2">
      <c r="B3817" s="4" t="str">
        <f>"0010950005"</f>
        <v>0010950005</v>
      </c>
      <c r="C3817" s="5" t="str">
        <f>"139316"</f>
        <v>139316</v>
      </c>
      <c r="D3817" s="12" t="s">
        <v>1090</v>
      </c>
      <c r="E3817" s="14" t="s">
        <v>1087</v>
      </c>
      <c r="F3817" s="12" t="s">
        <v>582</v>
      </c>
      <c r="G3817" s="15" t="s">
        <v>583</v>
      </c>
      <c r="H3817" s="12" t="s">
        <v>1088</v>
      </c>
      <c r="I3817" s="12" t="s">
        <v>68</v>
      </c>
      <c r="K3817" s="16">
        <v>5.77</v>
      </c>
      <c r="L3817" s="16">
        <v>9.2100000000000009</v>
      </c>
      <c r="M3817" s="16">
        <v>10.71</v>
      </c>
    </row>
    <row r="3818" spans="1:13" outlineLevel="1" x14ac:dyDescent="0.2">
      <c r="A3818" s="3"/>
    </row>
    <row r="3819" spans="1:13" outlineLevel="2" x14ac:dyDescent="0.2">
      <c r="A3819" s="3" t="s">
        <v>1599</v>
      </c>
    </row>
    <row r="3820" spans="1:13" ht="22.5" outlineLevel="3" x14ac:dyDescent="0.2">
      <c r="B3820" s="4" t="str">
        <f>"0015260005"</f>
        <v>0015260005</v>
      </c>
      <c r="C3820" s="5" t="str">
        <f>"566182"</f>
        <v>566182</v>
      </c>
      <c r="D3820" s="12" t="s">
        <v>1339</v>
      </c>
      <c r="E3820" s="14" t="s">
        <v>534</v>
      </c>
      <c r="F3820" s="12" t="s">
        <v>1336</v>
      </c>
      <c r="G3820" s="15" t="s">
        <v>583</v>
      </c>
      <c r="H3820" s="12" t="s">
        <v>1337</v>
      </c>
      <c r="I3820" s="12" t="s">
        <v>1340</v>
      </c>
      <c r="K3820" s="16">
        <v>5.36</v>
      </c>
      <c r="L3820" s="16">
        <v>8.5500000000000007</v>
      </c>
      <c r="M3820" s="16">
        <v>8.5500000000000007</v>
      </c>
    </row>
    <row r="3821" spans="1:13" ht="22.5" outlineLevel="3" x14ac:dyDescent="0.2">
      <c r="B3821" s="4" t="str">
        <f>"0015260005"</f>
        <v>0015260005</v>
      </c>
      <c r="C3821" s="5" t="str">
        <f>"153190"</f>
        <v>153190</v>
      </c>
      <c r="D3821" s="12" t="s">
        <v>1335</v>
      </c>
      <c r="E3821" s="14" t="s">
        <v>534</v>
      </c>
      <c r="F3821" s="12" t="s">
        <v>1336</v>
      </c>
      <c r="G3821" s="15" t="s">
        <v>583</v>
      </c>
      <c r="H3821" s="12" t="s">
        <v>1337</v>
      </c>
      <c r="I3821" s="12" t="s">
        <v>5</v>
      </c>
      <c r="K3821" s="16">
        <v>4.42</v>
      </c>
      <c r="L3821" s="16">
        <v>7.05</v>
      </c>
      <c r="M3821" s="16">
        <v>8.5500000000000007</v>
      </c>
    </row>
    <row r="3822" spans="1:13" ht="22.5" outlineLevel="3" x14ac:dyDescent="0.2">
      <c r="B3822" s="4" t="str">
        <f>"0015260005"</f>
        <v>0015260005</v>
      </c>
      <c r="C3822" s="5" t="str">
        <f>"396464"</f>
        <v>396464</v>
      </c>
      <c r="D3822" s="12" t="s">
        <v>1338</v>
      </c>
      <c r="E3822" s="14" t="s">
        <v>534</v>
      </c>
      <c r="F3822" s="12" t="s">
        <v>1336</v>
      </c>
      <c r="G3822" s="15" t="s">
        <v>583</v>
      </c>
      <c r="H3822" s="12" t="s">
        <v>1337</v>
      </c>
      <c r="I3822" s="12" t="s">
        <v>70</v>
      </c>
      <c r="K3822" s="16">
        <v>4.42</v>
      </c>
      <c r="L3822" s="16">
        <v>7.05</v>
      </c>
      <c r="M3822" s="16">
        <v>8.5500000000000007</v>
      </c>
    </row>
    <row r="3823" spans="1:13" outlineLevel="1" x14ac:dyDescent="0.2">
      <c r="A3823" s="3"/>
    </row>
    <row r="3824" spans="1:13" outlineLevel="2" x14ac:dyDescent="0.2">
      <c r="A3824" s="3" t="s">
        <v>1600</v>
      </c>
    </row>
    <row r="3825" spans="1:13" outlineLevel="3" x14ac:dyDescent="0.2">
      <c r="B3825" s="4" t="str">
        <f>"0004500005"</f>
        <v>0004500005</v>
      </c>
      <c r="C3825" s="5" t="str">
        <f>"064667"</f>
        <v>064667</v>
      </c>
      <c r="D3825" s="12" t="s">
        <v>580</v>
      </c>
      <c r="E3825" s="14" t="s">
        <v>581</v>
      </c>
      <c r="F3825" s="12" t="s">
        <v>582</v>
      </c>
      <c r="G3825" s="15" t="s">
        <v>583</v>
      </c>
      <c r="H3825" s="12" t="s">
        <v>584</v>
      </c>
      <c r="I3825" s="12" t="s">
        <v>585</v>
      </c>
      <c r="K3825" s="16">
        <v>3.87</v>
      </c>
      <c r="L3825" s="16">
        <v>6.17</v>
      </c>
      <c r="M3825" s="16">
        <v>7.67</v>
      </c>
    </row>
    <row r="3826" spans="1:13" outlineLevel="3" x14ac:dyDescent="0.2">
      <c r="B3826" s="4" t="str">
        <f>"0004500005"</f>
        <v>0004500005</v>
      </c>
      <c r="C3826" s="5" t="str">
        <f>"079335"</f>
        <v>079335</v>
      </c>
      <c r="D3826" s="12" t="s">
        <v>586</v>
      </c>
      <c r="E3826" s="14" t="s">
        <v>581</v>
      </c>
      <c r="F3826" s="12" t="s">
        <v>582</v>
      </c>
      <c r="G3826" s="15" t="s">
        <v>583</v>
      </c>
      <c r="H3826" s="12" t="s">
        <v>584</v>
      </c>
      <c r="I3826" s="12" t="s">
        <v>585</v>
      </c>
      <c r="K3826" s="16">
        <v>3.87</v>
      </c>
      <c r="L3826" s="16">
        <v>6.17</v>
      </c>
      <c r="M3826" s="16">
        <v>7.67</v>
      </c>
    </row>
    <row r="3827" spans="1:13" outlineLevel="1" x14ac:dyDescent="0.2">
      <c r="A3827" s="3"/>
    </row>
    <row r="3828" spans="1:13" outlineLevel="2" x14ac:dyDescent="0.2">
      <c r="A3828" s="3" t="s">
        <v>1601</v>
      </c>
    </row>
    <row r="3829" spans="1:13" ht="22.5" outlineLevel="3" x14ac:dyDescent="0.2">
      <c r="B3829" s="4" t="str">
        <f>"0011180005"</f>
        <v>0011180005</v>
      </c>
      <c r="C3829" s="5" t="str">
        <f>"093811"</f>
        <v>093811</v>
      </c>
      <c r="D3829" s="12" t="s">
        <v>1101</v>
      </c>
      <c r="E3829" s="14" t="s">
        <v>1102</v>
      </c>
      <c r="F3829" s="12" t="s">
        <v>582</v>
      </c>
      <c r="G3829" s="15" t="s">
        <v>583</v>
      </c>
      <c r="H3829" s="12" t="s">
        <v>1103</v>
      </c>
      <c r="I3829" s="12" t="s">
        <v>298</v>
      </c>
      <c r="J3829" s="2" t="s">
        <v>1400</v>
      </c>
      <c r="K3829" s="16">
        <v>8.99</v>
      </c>
      <c r="L3829" s="16">
        <v>14.34</v>
      </c>
      <c r="M3829" s="16">
        <v>15.84</v>
      </c>
    </row>
    <row r="3830" spans="1:13" ht="22.5" outlineLevel="3" x14ac:dyDescent="0.2">
      <c r="B3830" s="4" t="str">
        <f>"0011180005"</f>
        <v>0011180005</v>
      </c>
      <c r="C3830" s="5" t="str">
        <f>"109562"</f>
        <v>109562</v>
      </c>
      <c r="D3830" s="12" t="s">
        <v>1104</v>
      </c>
      <c r="E3830" s="14" t="s">
        <v>1102</v>
      </c>
      <c r="F3830" s="12" t="s">
        <v>582</v>
      </c>
      <c r="G3830" s="15" t="s">
        <v>583</v>
      </c>
      <c r="H3830" s="12" t="s">
        <v>1103</v>
      </c>
      <c r="I3830" s="12" t="s">
        <v>70</v>
      </c>
      <c r="K3830" s="16">
        <v>8.99</v>
      </c>
      <c r="L3830" s="16">
        <v>14.34</v>
      </c>
      <c r="M3830" s="16">
        <v>15.84</v>
      </c>
    </row>
    <row r="3831" spans="1:13" ht="22.5" outlineLevel="3" x14ac:dyDescent="0.2">
      <c r="B3831" s="4" t="str">
        <f>"0011180005"</f>
        <v>0011180005</v>
      </c>
      <c r="C3831" s="5" t="str">
        <f>"114447"</f>
        <v>114447</v>
      </c>
      <c r="D3831" s="12" t="s">
        <v>1105</v>
      </c>
      <c r="E3831" s="14" t="s">
        <v>1102</v>
      </c>
      <c r="F3831" s="12" t="s">
        <v>582</v>
      </c>
      <c r="G3831" s="15" t="s">
        <v>583</v>
      </c>
      <c r="H3831" s="12" t="s">
        <v>1103</v>
      </c>
      <c r="I3831" s="12" t="s">
        <v>585</v>
      </c>
      <c r="K3831" s="16">
        <v>8.99</v>
      </c>
      <c r="L3831" s="16">
        <v>14.34</v>
      </c>
      <c r="M3831" s="16">
        <v>15.84</v>
      </c>
    </row>
    <row r="3832" spans="1:13" ht="22.5" outlineLevel="3" x14ac:dyDescent="0.2">
      <c r="B3832" s="4" t="str">
        <f>"0011180005"</f>
        <v>0011180005</v>
      </c>
      <c r="C3832" s="5" t="str">
        <f>"537953"</f>
        <v>537953</v>
      </c>
      <c r="D3832" s="12" t="s">
        <v>1106</v>
      </c>
      <c r="E3832" s="14" t="s">
        <v>1102</v>
      </c>
      <c r="F3832" s="12" t="s">
        <v>582</v>
      </c>
      <c r="G3832" s="15" t="s">
        <v>583</v>
      </c>
      <c r="H3832" s="12" t="s">
        <v>1103</v>
      </c>
      <c r="I3832" s="12" t="s">
        <v>60</v>
      </c>
      <c r="K3832" s="16">
        <v>8.99</v>
      </c>
      <c r="L3832" s="16">
        <v>14.34</v>
      </c>
      <c r="M3832" s="16">
        <v>15.84</v>
      </c>
    </row>
    <row r="3833" spans="1:13" ht="22.5" outlineLevel="3" x14ac:dyDescent="0.2">
      <c r="B3833" s="4" t="str">
        <f>"0011180005"</f>
        <v>0011180005</v>
      </c>
      <c r="C3833" s="5" t="str">
        <f>"545135"</f>
        <v>545135</v>
      </c>
      <c r="D3833" s="12" t="s">
        <v>1107</v>
      </c>
      <c r="E3833" s="14" t="s">
        <v>1102</v>
      </c>
      <c r="F3833" s="12" t="s">
        <v>582</v>
      </c>
      <c r="G3833" s="15" t="s">
        <v>583</v>
      </c>
      <c r="H3833" s="12" t="s">
        <v>1103</v>
      </c>
      <c r="I3833" s="12" t="s">
        <v>68</v>
      </c>
      <c r="K3833" s="16">
        <v>8.99</v>
      </c>
      <c r="L3833" s="16">
        <v>14.34</v>
      </c>
      <c r="M3833" s="16">
        <v>15.84</v>
      </c>
    </row>
    <row r="3834" spans="1:13" outlineLevel="2" x14ac:dyDescent="0.2"/>
    <row r="3835" spans="1:13" ht="33.75" outlineLevel="3" x14ac:dyDescent="0.2">
      <c r="B3835" s="4" t="str">
        <f>"0012370025"</f>
        <v>0012370025</v>
      </c>
      <c r="C3835" s="5" t="str">
        <f>"004931"</f>
        <v>004931</v>
      </c>
      <c r="D3835" s="12" t="s">
        <v>1207</v>
      </c>
      <c r="E3835" s="14" t="s">
        <v>1208</v>
      </c>
      <c r="F3835" s="12" t="s">
        <v>582</v>
      </c>
      <c r="G3835" s="15" t="s">
        <v>774</v>
      </c>
      <c r="H3835" s="12" t="s">
        <v>1103</v>
      </c>
      <c r="I3835" s="12" t="s">
        <v>240</v>
      </c>
      <c r="K3835" s="16">
        <v>11.58</v>
      </c>
      <c r="L3835" s="16">
        <v>18.21</v>
      </c>
      <c r="M3835" s="16">
        <v>19.71</v>
      </c>
    </row>
    <row r="3836" spans="1:13" ht="33.75" outlineLevel="3" x14ac:dyDescent="0.2">
      <c r="B3836" s="4" t="str">
        <f>"0012370025"</f>
        <v>0012370025</v>
      </c>
      <c r="C3836" s="5" t="str">
        <f>"588224"</f>
        <v>588224</v>
      </c>
      <c r="D3836" s="12" t="s">
        <v>1209</v>
      </c>
      <c r="E3836" s="14" t="s">
        <v>1210</v>
      </c>
      <c r="F3836" s="12" t="s">
        <v>582</v>
      </c>
      <c r="G3836" s="15" t="s">
        <v>774</v>
      </c>
      <c r="H3836" s="12" t="s">
        <v>1103</v>
      </c>
      <c r="I3836" s="12" t="s">
        <v>70</v>
      </c>
      <c r="K3836" s="16">
        <v>11.58</v>
      </c>
      <c r="L3836" s="16">
        <v>18.21</v>
      </c>
      <c r="M3836" s="16">
        <v>19.71</v>
      </c>
    </row>
    <row r="3837" spans="1:13" outlineLevel="2" x14ac:dyDescent="0.2"/>
    <row r="3838" spans="1:13" ht="33.75" outlineLevel="3" x14ac:dyDescent="0.2">
      <c r="B3838" s="4" t="str">
        <f>"0012370075"</f>
        <v>0012370075</v>
      </c>
      <c r="C3838" s="5" t="str">
        <f>"005064"</f>
        <v>005064</v>
      </c>
      <c r="D3838" s="12" t="s">
        <v>1207</v>
      </c>
      <c r="E3838" s="14" t="s">
        <v>1208</v>
      </c>
      <c r="F3838" s="12" t="s">
        <v>582</v>
      </c>
      <c r="G3838" s="15" t="s">
        <v>779</v>
      </c>
      <c r="H3838" s="12" t="s">
        <v>1103</v>
      </c>
      <c r="I3838" s="12" t="s">
        <v>240</v>
      </c>
      <c r="K3838" s="16">
        <v>30.35</v>
      </c>
      <c r="L3838" s="16">
        <v>46.08</v>
      </c>
      <c r="M3838" s="16">
        <v>45.7</v>
      </c>
    </row>
    <row r="3839" spans="1:13" ht="33.75" outlineLevel="3" x14ac:dyDescent="0.2">
      <c r="B3839" s="4" t="str">
        <f>"0012370075"</f>
        <v>0012370075</v>
      </c>
      <c r="C3839" s="5" t="str">
        <f>"120427"</f>
        <v>120427</v>
      </c>
      <c r="D3839" s="12" t="s">
        <v>1209</v>
      </c>
      <c r="E3839" s="14" t="s">
        <v>1210</v>
      </c>
      <c r="F3839" s="12" t="s">
        <v>582</v>
      </c>
      <c r="G3839" s="15" t="s">
        <v>779</v>
      </c>
      <c r="H3839" s="12" t="s">
        <v>1103</v>
      </c>
      <c r="I3839" s="12" t="s">
        <v>70</v>
      </c>
      <c r="J3839" s="2" t="s">
        <v>1400</v>
      </c>
      <c r="K3839" s="16">
        <v>30.34</v>
      </c>
      <c r="L3839" s="16">
        <v>46.07</v>
      </c>
      <c r="M3839" s="16">
        <v>45.7</v>
      </c>
    </row>
    <row r="3840" spans="1:13" ht="33.75" outlineLevel="3" x14ac:dyDescent="0.2">
      <c r="B3840" s="4" t="str">
        <f>"0012370075"</f>
        <v>0012370075</v>
      </c>
      <c r="C3840" s="5" t="str">
        <f>"149437"</f>
        <v>149437</v>
      </c>
      <c r="D3840" s="12" t="s">
        <v>1211</v>
      </c>
      <c r="E3840" s="14" t="s">
        <v>1210</v>
      </c>
      <c r="F3840" s="12" t="s">
        <v>582</v>
      </c>
      <c r="G3840" s="15" t="s">
        <v>779</v>
      </c>
      <c r="H3840" s="12" t="s">
        <v>1103</v>
      </c>
      <c r="I3840" s="12" t="s">
        <v>60</v>
      </c>
      <c r="K3840" s="16">
        <v>28.75</v>
      </c>
      <c r="L3840" s="16">
        <v>43.7</v>
      </c>
      <c r="M3840" s="16">
        <v>45.7</v>
      </c>
    </row>
    <row r="3841" spans="1:13" outlineLevel="1" x14ac:dyDescent="0.2">
      <c r="A3841" s="3"/>
    </row>
    <row r="3842" spans="1:13" outlineLevel="2" x14ac:dyDescent="0.2">
      <c r="A3842" s="3" t="s">
        <v>1602</v>
      </c>
    </row>
    <row r="3843" spans="1:13" ht="22.5" outlineLevel="3" x14ac:dyDescent="0.2">
      <c r="B3843" s="4" t="str">
        <f>"0006730025"</f>
        <v>0006730025</v>
      </c>
      <c r="C3843" s="5" t="str">
        <f>"166809"</f>
        <v>166809</v>
      </c>
      <c r="D3843" s="12" t="s">
        <v>772</v>
      </c>
      <c r="E3843" s="14" t="s">
        <v>773</v>
      </c>
      <c r="F3843" s="12" t="s">
        <v>582</v>
      </c>
      <c r="G3843" s="15" t="s">
        <v>774</v>
      </c>
      <c r="H3843" s="12" t="s">
        <v>775</v>
      </c>
      <c r="I3843" s="12" t="s">
        <v>240</v>
      </c>
      <c r="J3843" s="2" t="s">
        <v>1400</v>
      </c>
      <c r="K3843" s="16">
        <v>9.2899999999999991</v>
      </c>
      <c r="L3843" s="16">
        <v>14.81</v>
      </c>
      <c r="M3843" s="16">
        <v>16.309999999999999</v>
      </c>
    </row>
    <row r="3844" spans="1:13" ht="22.5" outlineLevel="3" x14ac:dyDescent="0.2">
      <c r="B3844" s="4" t="str">
        <f>"0006730025"</f>
        <v>0006730025</v>
      </c>
      <c r="C3844" s="5" t="str">
        <f>"034999"</f>
        <v>034999</v>
      </c>
      <c r="D3844" s="12" t="s">
        <v>776</v>
      </c>
      <c r="E3844" s="14" t="s">
        <v>773</v>
      </c>
      <c r="F3844" s="12" t="s">
        <v>582</v>
      </c>
      <c r="G3844" s="15" t="s">
        <v>774</v>
      </c>
      <c r="H3844" s="12" t="s">
        <v>775</v>
      </c>
      <c r="I3844" s="12" t="s">
        <v>5</v>
      </c>
      <c r="K3844" s="16">
        <v>9.2899999999999991</v>
      </c>
      <c r="L3844" s="16">
        <v>14.81</v>
      </c>
      <c r="M3844" s="16">
        <v>16.309999999999999</v>
      </c>
    </row>
    <row r="3845" spans="1:13" ht="22.5" outlineLevel="3" x14ac:dyDescent="0.2">
      <c r="B3845" s="4" t="str">
        <f>"0006730025"</f>
        <v>0006730025</v>
      </c>
      <c r="C3845" s="5" t="str">
        <f>"124735"</f>
        <v>124735</v>
      </c>
      <c r="D3845" s="12" t="s">
        <v>777</v>
      </c>
      <c r="E3845" s="14" t="s">
        <v>773</v>
      </c>
      <c r="F3845" s="12" t="s">
        <v>582</v>
      </c>
      <c r="G3845" s="15" t="s">
        <v>774</v>
      </c>
      <c r="H3845" s="12" t="s">
        <v>775</v>
      </c>
      <c r="I3845" s="12" t="s">
        <v>240</v>
      </c>
      <c r="K3845" s="16">
        <v>9.2899999999999991</v>
      </c>
      <c r="L3845" s="16">
        <v>14.81</v>
      </c>
      <c r="M3845" s="16">
        <v>16.309999999999999</v>
      </c>
    </row>
    <row r="3846" spans="1:13" ht="22.5" outlineLevel="3" x14ac:dyDescent="0.2">
      <c r="B3846" s="4" t="str">
        <f>"0006730025"</f>
        <v>0006730025</v>
      </c>
      <c r="C3846" s="5" t="str">
        <f>"549132"</f>
        <v>549132</v>
      </c>
      <c r="D3846" s="12" t="s">
        <v>778</v>
      </c>
      <c r="E3846" s="14" t="s">
        <v>773</v>
      </c>
      <c r="F3846" s="12" t="s">
        <v>582</v>
      </c>
      <c r="G3846" s="15" t="s">
        <v>774</v>
      </c>
      <c r="H3846" s="12" t="s">
        <v>775</v>
      </c>
      <c r="I3846" s="12" t="s">
        <v>70</v>
      </c>
      <c r="K3846" s="16">
        <v>9.2899999999999991</v>
      </c>
      <c r="L3846" s="16">
        <v>14.81</v>
      </c>
      <c r="M3846" s="16">
        <v>16.309999999999999</v>
      </c>
    </row>
    <row r="3847" spans="1:13" outlineLevel="2" x14ac:dyDescent="0.2"/>
    <row r="3848" spans="1:13" ht="22.5" outlineLevel="3" x14ac:dyDescent="0.2">
      <c r="B3848" s="4" t="str">
        <f>"0006730075"</f>
        <v>0006730075</v>
      </c>
      <c r="C3848" s="5" t="str">
        <f>"124743"</f>
        <v>124743</v>
      </c>
      <c r="D3848" s="12" t="s">
        <v>777</v>
      </c>
      <c r="E3848" s="14" t="s">
        <v>773</v>
      </c>
      <c r="F3848" s="12" t="s">
        <v>582</v>
      </c>
      <c r="G3848" s="15" t="s">
        <v>779</v>
      </c>
      <c r="H3848" s="12" t="s">
        <v>775</v>
      </c>
      <c r="I3848" s="12" t="s">
        <v>240</v>
      </c>
      <c r="K3848" s="16">
        <v>17.55</v>
      </c>
      <c r="L3848" s="16">
        <v>27.07</v>
      </c>
      <c r="M3848" s="16">
        <v>22.57</v>
      </c>
    </row>
    <row r="3849" spans="1:13" ht="22.5" outlineLevel="3" x14ac:dyDescent="0.2">
      <c r="B3849" s="4" t="str">
        <f>"0006730075"</f>
        <v>0006730075</v>
      </c>
      <c r="C3849" s="5" t="str">
        <f>"035010"</f>
        <v>035010</v>
      </c>
      <c r="D3849" s="12" t="s">
        <v>776</v>
      </c>
      <c r="E3849" s="14" t="s">
        <v>773</v>
      </c>
      <c r="F3849" s="12" t="s">
        <v>582</v>
      </c>
      <c r="G3849" s="15" t="s">
        <v>779</v>
      </c>
      <c r="H3849" s="12" t="s">
        <v>775</v>
      </c>
      <c r="I3849" s="12" t="s">
        <v>5</v>
      </c>
      <c r="K3849" s="16">
        <v>14.61</v>
      </c>
      <c r="L3849" s="16">
        <v>22.7</v>
      </c>
      <c r="M3849" s="16">
        <v>22.57</v>
      </c>
    </row>
    <row r="3850" spans="1:13" ht="22.5" outlineLevel="3" x14ac:dyDescent="0.2">
      <c r="B3850" s="4" t="str">
        <f>"0006730075"</f>
        <v>0006730075</v>
      </c>
      <c r="C3850" s="5" t="str">
        <f>"107109"</f>
        <v>107109</v>
      </c>
      <c r="D3850" s="12" t="s">
        <v>772</v>
      </c>
      <c r="E3850" s="14" t="s">
        <v>773</v>
      </c>
      <c r="F3850" s="12" t="s">
        <v>582</v>
      </c>
      <c r="G3850" s="15" t="s">
        <v>779</v>
      </c>
      <c r="H3850" s="12" t="s">
        <v>775</v>
      </c>
      <c r="I3850" s="12" t="s">
        <v>240</v>
      </c>
      <c r="K3850" s="16">
        <v>14.61</v>
      </c>
      <c r="L3850" s="16">
        <v>22.7</v>
      </c>
      <c r="M3850" s="16">
        <v>22.57</v>
      </c>
    </row>
    <row r="3851" spans="1:13" ht="22.5" outlineLevel="3" x14ac:dyDescent="0.2">
      <c r="B3851" s="4" t="str">
        <f>"0006730075"</f>
        <v>0006730075</v>
      </c>
      <c r="C3851" s="5" t="str">
        <f>"565924"</f>
        <v>565924</v>
      </c>
      <c r="D3851" s="12" t="s">
        <v>778</v>
      </c>
      <c r="E3851" s="14" t="s">
        <v>773</v>
      </c>
      <c r="F3851" s="12" t="s">
        <v>582</v>
      </c>
      <c r="G3851" s="15" t="s">
        <v>779</v>
      </c>
      <c r="H3851" s="12" t="s">
        <v>775</v>
      </c>
      <c r="I3851" s="12" t="s">
        <v>70</v>
      </c>
      <c r="K3851" s="16">
        <v>14.61</v>
      </c>
      <c r="L3851" s="16">
        <v>22.7</v>
      </c>
      <c r="M3851" s="16">
        <v>22.57</v>
      </c>
    </row>
    <row r="3852" spans="1:13" ht="22.5" outlineLevel="3" x14ac:dyDescent="0.2">
      <c r="B3852" s="4" t="str">
        <f>"0006730075"</f>
        <v>0006730075</v>
      </c>
      <c r="C3852" s="5" t="str">
        <f>"535976"</f>
        <v>535976</v>
      </c>
      <c r="D3852" s="12" t="s">
        <v>780</v>
      </c>
      <c r="E3852" s="14" t="s">
        <v>773</v>
      </c>
      <c r="F3852" s="12" t="s">
        <v>582</v>
      </c>
      <c r="G3852" s="15" t="s">
        <v>779</v>
      </c>
      <c r="H3852" s="12" t="s">
        <v>775</v>
      </c>
      <c r="I3852" s="12" t="s">
        <v>60</v>
      </c>
      <c r="K3852" s="16">
        <v>13.5</v>
      </c>
      <c r="L3852" s="16">
        <v>21.07</v>
      </c>
      <c r="M3852" s="16">
        <v>22.57</v>
      </c>
    </row>
    <row r="3853" spans="1:13" outlineLevel="1" x14ac:dyDescent="0.2">
      <c r="A3853" s="3"/>
    </row>
    <row r="3854" spans="1:13" outlineLevel="2" x14ac:dyDescent="0.2">
      <c r="A3854" s="3" t="s">
        <v>1603</v>
      </c>
    </row>
    <row r="3855" spans="1:13" ht="33.75" outlineLevel="3" x14ac:dyDescent="0.2">
      <c r="B3855" s="4" t="str">
        <f>"0013620003"</f>
        <v>0013620003</v>
      </c>
      <c r="C3855" s="5" t="str">
        <f>"007275"</f>
        <v>007275</v>
      </c>
      <c r="D3855" s="12" t="s">
        <v>1274</v>
      </c>
      <c r="E3855" s="14" t="s">
        <v>1275</v>
      </c>
      <c r="F3855" s="12" t="s">
        <v>582</v>
      </c>
      <c r="G3855" s="15" t="s">
        <v>788</v>
      </c>
      <c r="H3855" s="12" t="s">
        <v>1276</v>
      </c>
      <c r="I3855" s="12" t="s">
        <v>1277</v>
      </c>
      <c r="K3855" s="16">
        <v>7.39</v>
      </c>
      <c r="L3855" s="16">
        <v>11.79</v>
      </c>
      <c r="M3855" s="16">
        <v>11.24</v>
      </c>
    </row>
    <row r="3856" spans="1:13" outlineLevel="3" x14ac:dyDescent="0.2">
      <c r="B3856" s="4" t="str">
        <f>"0013620003"</f>
        <v>0013620003</v>
      </c>
      <c r="C3856" s="5" t="str">
        <f>"166135"</f>
        <v>166135</v>
      </c>
      <c r="D3856" s="12" t="s">
        <v>1279</v>
      </c>
      <c r="E3856" s="14" t="s">
        <v>1275</v>
      </c>
      <c r="F3856" s="12" t="s">
        <v>582</v>
      </c>
      <c r="G3856" s="15" t="s">
        <v>788</v>
      </c>
      <c r="H3856" s="12" t="s">
        <v>1276</v>
      </c>
      <c r="I3856" s="12" t="s">
        <v>70</v>
      </c>
      <c r="K3856" s="16">
        <v>7.04</v>
      </c>
      <c r="L3856" s="16">
        <v>11.23</v>
      </c>
      <c r="M3856" s="16">
        <v>11.24</v>
      </c>
    </row>
    <row r="3857" spans="1:13" ht="22.5" outlineLevel="3" x14ac:dyDescent="0.2">
      <c r="B3857" s="4" t="str">
        <f>"0013620003"</f>
        <v>0013620003</v>
      </c>
      <c r="C3857" s="5" t="str">
        <f>"159259"</f>
        <v>159259</v>
      </c>
      <c r="D3857" s="12" t="s">
        <v>1278</v>
      </c>
      <c r="E3857" s="14" t="s">
        <v>1275</v>
      </c>
      <c r="F3857" s="12" t="s">
        <v>582</v>
      </c>
      <c r="G3857" s="15" t="s">
        <v>788</v>
      </c>
      <c r="H3857" s="12" t="s">
        <v>1276</v>
      </c>
      <c r="I3857" s="12" t="s">
        <v>60</v>
      </c>
      <c r="K3857" s="16">
        <v>6.1</v>
      </c>
      <c r="L3857" s="16">
        <v>9.74</v>
      </c>
      <c r="M3857" s="16">
        <v>11.24</v>
      </c>
    </row>
    <row r="3858" spans="1:13" outlineLevel="2" x14ac:dyDescent="0.2"/>
    <row r="3859" spans="1:13" ht="33.75" outlineLevel="3" x14ac:dyDescent="0.2">
      <c r="B3859" s="4" t="str">
        <f>"0013620009"</f>
        <v>0013620009</v>
      </c>
      <c r="C3859" s="5" t="str">
        <f>"010706"</f>
        <v>010706</v>
      </c>
      <c r="D3859" s="12" t="s">
        <v>1274</v>
      </c>
      <c r="E3859" s="14" t="s">
        <v>1275</v>
      </c>
      <c r="F3859" s="12" t="s">
        <v>582</v>
      </c>
      <c r="G3859" s="15" t="s">
        <v>1280</v>
      </c>
      <c r="H3859" s="12" t="s">
        <v>1276</v>
      </c>
      <c r="I3859" s="12" t="s">
        <v>1277</v>
      </c>
      <c r="K3859" s="16">
        <v>21.5</v>
      </c>
      <c r="L3859" s="16">
        <v>32.950000000000003</v>
      </c>
      <c r="M3859" s="16">
        <v>27.43</v>
      </c>
    </row>
    <row r="3860" spans="1:13" outlineLevel="3" x14ac:dyDescent="0.2">
      <c r="B3860" s="4" t="str">
        <f>"0013620009"</f>
        <v>0013620009</v>
      </c>
      <c r="C3860" s="5" t="str">
        <f>"163474"</f>
        <v>163474</v>
      </c>
      <c r="D3860" s="12" t="s">
        <v>1274</v>
      </c>
      <c r="E3860" s="14" t="s">
        <v>1275</v>
      </c>
      <c r="F3860" s="12" t="s">
        <v>582</v>
      </c>
      <c r="G3860" s="15" t="s">
        <v>1280</v>
      </c>
      <c r="H3860" s="12" t="s">
        <v>1276</v>
      </c>
      <c r="I3860" s="12" t="s">
        <v>75</v>
      </c>
      <c r="J3860" s="2" t="s">
        <v>1400</v>
      </c>
      <c r="K3860" s="16">
        <v>18</v>
      </c>
      <c r="L3860" s="16">
        <v>27.74</v>
      </c>
      <c r="M3860" s="16">
        <v>27.43</v>
      </c>
    </row>
    <row r="3861" spans="1:13" outlineLevel="3" x14ac:dyDescent="0.2">
      <c r="B3861" s="4" t="str">
        <f>"0013620009"</f>
        <v>0013620009</v>
      </c>
      <c r="C3861" s="5" t="str">
        <f>"543571"</f>
        <v>543571</v>
      </c>
      <c r="D3861" s="12" t="s">
        <v>1279</v>
      </c>
      <c r="E3861" s="14" t="s">
        <v>1275</v>
      </c>
      <c r="F3861" s="12" t="s">
        <v>582</v>
      </c>
      <c r="G3861" s="15" t="s">
        <v>1280</v>
      </c>
      <c r="H3861" s="12" t="s">
        <v>1276</v>
      </c>
      <c r="I3861" s="12" t="s">
        <v>70</v>
      </c>
      <c r="K3861" s="16">
        <v>17.78</v>
      </c>
      <c r="L3861" s="16">
        <v>27.41</v>
      </c>
      <c r="M3861" s="16">
        <v>27.43</v>
      </c>
    </row>
    <row r="3862" spans="1:13" ht="22.5" outlineLevel="3" x14ac:dyDescent="0.2">
      <c r="B3862" s="4" t="str">
        <f>"0013620009"</f>
        <v>0013620009</v>
      </c>
      <c r="C3862" s="5" t="str">
        <f>"095787"</f>
        <v>095787</v>
      </c>
      <c r="D3862" s="12" t="s">
        <v>1278</v>
      </c>
      <c r="E3862" s="14" t="s">
        <v>1275</v>
      </c>
      <c r="F3862" s="12" t="s">
        <v>582</v>
      </c>
      <c r="G3862" s="15" t="s">
        <v>1280</v>
      </c>
      <c r="H3862" s="12" t="s">
        <v>1276</v>
      </c>
      <c r="I3862" s="12" t="s">
        <v>60</v>
      </c>
      <c r="K3862" s="16">
        <v>16.78</v>
      </c>
      <c r="L3862" s="16">
        <v>25.93</v>
      </c>
      <c r="M3862" s="16">
        <v>27.43</v>
      </c>
    </row>
    <row r="3863" spans="1:13" outlineLevel="1" x14ac:dyDescent="0.2">
      <c r="A3863" s="3"/>
    </row>
    <row r="3864" spans="1:13" outlineLevel="2" x14ac:dyDescent="0.2">
      <c r="A3864" s="3" t="s">
        <v>1604</v>
      </c>
    </row>
    <row r="3865" spans="1:13" ht="22.5" outlineLevel="3" x14ac:dyDescent="0.2">
      <c r="B3865" s="4" t="str">
        <f>"0015080025"</f>
        <v>0015080025</v>
      </c>
      <c r="C3865" s="5" t="str">
        <f>"180186"</f>
        <v>180186</v>
      </c>
      <c r="D3865" s="12" t="s">
        <v>1332</v>
      </c>
      <c r="E3865" s="14" t="s">
        <v>1333</v>
      </c>
      <c r="F3865" s="12" t="s">
        <v>582</v>
      </c>
      <c r="G3865" s="15" t="s">
        <v>774</v>
      </c>
      <c r="H3865" s="12" t="s">
        <v>1334</v>
      </c>
      <c r="I3865" s="12" t="s">
        <v>710</v>
      </c>
      <c r="K3865" s="16">
        <v>7.39</v>
      </c>
      <c r="L3865" s="16">
        <v>11.79</v>
      </c>
      <c r="M3865" s="16">
        <v>13.29</v>
      </c>
    </row>
    <row r="3866" spans="1:13" outlineLevel="2" x14ac:dyDescent="0.2"/>
    <row r="3867" spans="1:13" ht="22.5" outlineLevel="3" x14ac:dyDescent="0.2">
      <c r="B3867" s="4" t="str">
        <f>"0015080075"</f>
        <v>0015080075</v>
      </c>
      <c r="C3867" s="5" t="str">
        <f>"084880"</f>
        <v>084880</v>
      </c>
      <c r="D3867" s="12" t="s">
        <v>1332</v>
      </c>
      <c r="E3867" s="14" t="s">
        <v>1333</v>
      </c>
      <c r="F3867" s="12" t="s">
        <v>582</v>
      </c>
      <c r="G3867" s="15" t="s">
        <v>779</v>
      </c>
      <c r="H3867" s="12" t="s">
        <v>1334</v>
      </c>
      <c r="I3867" s="12" t="s">
        <v>710</v>
      </c>
      <c r="K3867" s="16">
        <v>21.5</v>
      </c>
      <c r="L3867" s="16">
        <v>32.950000000000003</v>
      </c>
      <c r="M3867" s="16">
        <v>34.450000000000003</v>
      </c>
    </row>
    <row r="3868" spans="1:13" outlineLevel="1" x14ac:dyDescent="0.2">
      <c r="A3868" s="3"/>
    </row>
    <row r="3869" spans="1:13" outlineLevel="1" x14ac:dyDescent="0.2">
      <c r="A3869" s="3" t="s">
        <v>1605</v>
      </c>
    </row>
    <row r="3870" spans="1:13" ht="33.75" outlineLevel="2" x14ac:dyDescent="0.2">
      <c r="B3870" s="4" t="str">
        <f>"0005210060"</f>
        <v>0005210060</v>
      </c>
      <c r="C3870" s="5" t="str">
        <f>"001102"</f>
        <v>001102</v>
      </c>
      <c r="D3870" s="12" t="s">
        <v>650</v>
      </c>
      <c r="E3870" s="14" t="s">
        <v>651</v>
      </c>
      <c r="F3870" s="12" t="s">
        <v>652</v>
      </c>
      <c r="G3870" s="15" t="s">
        <v>653</v>
      </c>
      <c r="H3870" s="12" t="s">
        <v>654</v>
      </c>
      <c r="I3870" s="12" t="s">
        <v>187</v>
      </c>
      <c r="K3870" s="16">
        <v>12.64</v>
      </c>
      <c r="L3870" s="16">
        <v>21.04</v>
      </c>
      <c r="M3870" s="16">
        <v>22.54</v>
      </c>
    </row>
    <row r="3871" spans="1:13" ht="33.75" outlineLevel="2" x14ac:dyDescent="0.2">
      <c r="B3871" s="4" t="str">
        <f>"0005210060"</f>
        <v>0005210060</v>
      </c>
      <c r="C3871" s="5" t="str">
        <f>"012869"</f>
        <v>012869</v>
      </c>
      <c r="D3871" s="12" t="s">
        <v>655</v>
      </c>
      <c r="E3871" s="14" t="s">
        <v>651</v>
      </c>
      <c r="F3871" s="12" t="s">
        <v>652</v>
      </c>
      <c r="G3871" s="15" t="s">
        <v>656</v>
      </c>
      <c r="H3871" s="12" t="s">
        <v>654</v>
      </c>
      <c r="I3871" s="12" t="s">
        <v>585</v>
      </c>
      <c r="K3871" s="16">
        <v>12.64</v>
      </c>
      <c r="L3871" s="16">
        <v>21.04</v>
      </c>
      <c r="M3871" s="16">
        <v>22.54</v>
      </c>
    </row>
    <row r="3872" spans="1:13" outlineLevel="1" x14ac:dyDescent="0.2">
      <c r="A3872" s="3"/>
    </row>
    <row r="3873" spans="1:13" outlineLevel="1" x14ac:dyDescent="0.2">
      <c r="A3873" s="3" t="s">
        <v>1606</v>
      </c>
    </row>
    <row r="3874" spans="1:13" ht="33.75" outlineLevel="2" x14ac:dyDescent="0.2">
      <c r="B3874" s="4" t="str">
        <f>"0013420180"</f>
        <v>0013420180</v>
      </c>
      <c r="C3874" s="5" t="str">
        <f>"084264"</f>
        <v>084264</v>
      </c>
      <c r="D3874" s="12" t="s">
        <v>1264</v>
      </c>
      <c r="E3874" s="14" t="s">
        <v>338</v>
      </c>
      <c r="F3874" s="12" t="s">
        <v>3</v>
      </c>
      <c r="G3874" s="15">
        <v>180</v>
      </c>
      <c r="H3874" s="12" t="s">
        <v>1265</v>
      </c>
      <c r="I3874" s="12" t="s">
        <v>75</v>
      </c>
      <c r="J3874" s="2" t="s">
        <v>1400</v>
      </c>
      <c r="K3874" s="16">
        <v>99.36</v>
      </c>
      <c r="L3874" s="16">
        <v>142.71</v>
      </c>
      <c r="M3874" s="16">
        <v>133.63999999999999</v>
      </c>
    </row>
    <row r="3875" spans="1:13" ht="33.75" outlineLevel="2" x14ac:dyDescent="0.2">
      <c r="B3875" s="4" t="str">
        <f>"0013420180"</f>
        <v>0013420180</v>
      </c>
      <c r="C3875" s="5" t="str">
        <f>"036062"</f>
        <v>036062</v>
      </c>
      <c r="D3875" s="12" t="s">
        <v>1264</v>
      </c>
      <c r="E3875" s="14" t="s">
        <v>338</v>
      </c>
      <c r="F3875" s="12" t="s">
        <v>3</v>
      </c>
      <c r="G3875" s="15">
        <v>180</v>
      </c>
      <c r="H3875" s="12" t="s">
        <v>1265</v>
      </c>
      <c r="I3875" s="12" t="s">
        <v>1266</v>
      </c>
      <c r="K3875" s="16">
        <v>95.3</v>
      </c>
      <c r="L3875" s="16">
        <v>137.13999999999999</v>
      </c>
      <c r="M3875" s="16">
        <v>133.63999999999999</v>
      </c>
    </row>
    <row r="3876" spans="1:13" ht="33.75" outlineLevel="2" x14ac:dyDescent="0.2">
      <c r="B3876" s="4" t="str">
        <f>"0013420180"</f>
        <v>0013420180</v>
      </c>
      <c r="C3876" s="5" t="str">
        <f>"459604"</f>
        <v>459604</v>
      </c>
      <c r="D3876" s="12" t="s">
        <v>1267</v>
      </c>
      <c r="E3876" s="14" t="s">
        <v>338</v>
      </c>
      <c r="F3876" s="12" t="s">
        <v>3</v>
      </c>
      <c r="G3876" s="15">
        <v>180</v>
      </c>
      <c r="H3876" s="12" t="s">
        <v>1265</v>
      </c>
      <c r="I3876" s="12" t="s">
        <v>355</v>
      </c>
      <c r="K3876" s="16">
        <v>91.3</v>
      </c>
      <c r="L3876" s="16">
        <v>131.63999999999999</v>
      </c>
      <c r="M3876" s="16">
        <v>133.63999999999999</v>
      </c>
    </row>
    <row r="3878" spans="1:13" outlineLevel="1" x14ac:dyDescent="0.2"/>
  </sheetData>
  <sortState ref="B2:AI2874">
    <sortCondition ref="B2:B2874"/>
    <sortCondition descending="1" ref="L2:L2874"/>
  </sortState>
  <pageMargins left="0.19685039370078741" right="0.19685039370078741" top="0.46" bottom="0.49" header="0.31496062992125984" footer="0.2"/>
  <pageSetup paperSize="9" orientation="landscape" verticalDpi="1200" r:id="rId1"/>
  <headerFooter>
    <oddHeader>&amp;R&amp;8&amp;P</oddHeader>
    <oddFooter>&amp;L&amp;8* partipris var inte inkluderat i referensprisbestämmande&amp;R&amp;8Läkemedelsprisnämnden 22.9.2016</oddFooter>
  </headerFooter>
  <rowBreaks count="32" manualBreakCount="32">
    <brk id="34" max="16383" man="1"/>
    <brk id="222" max="16383" man="1"/>
    <brk id="331" max="16383" man="1"/>
    <brk id="356" max="16383" man="1"/>
    <brk id="592" max="16383" man="1"/>
    <brk id="628" max="16383" man="1"/>
    <brk id="665" max="16383" man="1"/>
    <brk id="816" max="16383" man="1"/>
    <brk id="830" max="16383" man="1"/>
    <brk id="1016" max="16383" man="1"/>
    <brk id="1212" max="16383" man="1"/>
    <brk id="1359" max="16383" man="1"/>
    <brk id="1394" max="16383" man="1"/>
    <brk id="1457" max="16383" man="1"/>
    <brk id="1863" max="16383" man="1"/>
    <brk id="1913" max="16383" man="1"/>
    <brk id="2032" max="16383" man="1"/>
    <brk id="2089" max="16383" man="1"/>
    <brk id="2158" max="16383" man="1"/>
    <brk id="2403" max="16383" man="1"/>
    <brk id="2461" max="16383" man="1"/>
    <brk id="2535" max="16383" man="1"/>
    <brk id="2576" max="16383" man="1"/>
    <brk id="2714" max="16383" man="1"/>
    <brk id="2749" max="16383" man="1"/>
    <brk id="3081" max="16383" man="1"/>
    <brk id="3099" max="16383" man="1"/>
    <brk id="3114" max="16383" man="1"/>
    <brk id="3370" max="16383" man="1"/>
    <brk id="3562" max="16383" man="1"/>
    <brk id="3774" max="16383" man="1"/>
    <brk id="38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Taul1!Tulostusotsikot</vt:lpstr>
    </vt:vector>
  </TitlesOfParts>
  <Company>VIP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stmhjou</dc:creator>
  <cp:lastModifiedBy>stmhjou</cp:lastModifiedBy>
  <cp:lastPrinted>2016-09-23T06:15:37Z</cp:lastPrinted>
  <dcterms:created xsi:type="dcterms:W3CDTF">2016-09-20T10:53:17Z</dcterms:created>
  <dcterms:modified xsi:type="dcterms:W3CDTF">2016-09-23T06:17:08Z</dcterms:modified>
</cp:coreProperties>
</file>